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8870" windowHeight="7815" firstSheet="1" activeTab="5"/>
  </bookViews>
  <sheets>
    <sheet name="Data Input" sheetId="1" state="hidden" r:id="rId1"/>
    <sheet name="Revenues" sheetId="2" r:id="rId2"/>
    <sheet name="Expenditures" sheetId="3" r:id="rId3"/>
    <sheet name="Position" sheetId="4" r:id="rId4"/>
    <sheet name="Obligations" sheetId="5" r:id="rId5"/>
    <sheet name="F-65 Cross-walk" sheetId="6" r:id="rId6"/>
  </sheets>
  <definedNames>
    <definedName name="_xlnm.Print_Area" localSheetId="0">'Data Input'!$A$1:$H$70</definedName>
    <definedName name="_xlnm.Print_Area" localSheetId="2">Expenditures!$A$1:$N$42</definedName>
    <definedName name="_xlnm.Print_Area" localSheetId="5">'F-65 Cross-walk'!$A:$H</definedName>
    <definedName name="_xlnm.Print_Area" localSheetId="4">Obligations!$A$1:$W$38</definedName>
    <definedName name="_xlnm.Print_Area" localSheetId="3">Position!$A$1:$O$38</definedName>
    <definedName name="_xlnm.Print_Area" localSheetId="1">Revenues!$A$1:$N$38</definedName>
    <definedName name="_xlnm.Print_Titles" localSheetId="0">'Data Input'!$1:$3</definedName>
    <definedName name="_xlnm.Print_Titles" localSheetId="5">'F-65 Cross-walk'!$1:$1</definedName>
  </definedNames>
  <calcPr calcId="124519"/>
</workbook>
</file>

<file path=xl/calcChain.xml><?xml version="1.0" encoding="utf-8"?>
<calcChain xmlns="http://schemas.openxmlformats.org/spreadsheetml/2006/main">
  <c r="B3" i="1"/>
  <c r="C3"/>
  <c r="J21" i="2" s="1"/>
  <c r="D3" i="1"/>
  <c r="N4" i="5" s="1"/>
  <c r="E3" i="1"/>
  <c r="L21" i="2" s="1"/>
  <c r="F3" i="1"/>
  <c r="H3"/>
  <c r="G3" s="1"/>
  <c r="B6"/>
  <c r="I22" i="2" s="1"/>
  <c r="I31" s="1"/>
  <c r="C6" i="1"/>
  <c r="D6"/>
  <c r="E6"/>
  <c r="L22" i="2" s="1"/>
  <c r="L31" s="1"/>
  <c r="F6" i="1"/>
  <c r="M22" i="2" s="1"/>
  <c r="M31" s="1"/>
  <c r="B7" i="1"/>
  <c r="I23" i="2" s="1"/>
  <c r="C7" i="1"/>
  <c r="D7"/>
  <c r="K23" i="2" s="1"/>
  <c r="E7" i="1"/>
  <c r="L23" i="2" s="1"/>
  <c r="F7" i="1"/>
  <c r="B8"/>
  <c r="C8"/>
  <c r="D8"/>
  <c r="K24" i="2" s="1"/>
  <c r="E8" i="1"/>
  <c r="L24" i="2" s="1"/>
  <c r="F8" i="1"/>
  <c r="B9"/>
  <c r="I25" i="2" s="1"/>
  <c r="C9" i="1"/>
  <c r="J25" i="2" s="1"/>
  <c r="D9" i="1"/>
  <c r="E9"/>
  <c r="F9"/>
  <c r="B10"/>
  <c r="C10"/>
  <c r="J26" i="2" s="1"/>
  <c r="D10" i="1"/>
  <c r="E10"/>
  <c r="F10"/>
  <c r="B11"/>
  <c r="I27" i="2" s="1"/>
  <c r="C11" i="1"/>
  <c r="D11"/>
  <c r="E11"/>
  <c r="F11"/>
  <c r="M27" i="2" s="1"/>
  <c r="B12" i="1"/>
  <c r="C12"/>
  <c r="J28" i="2" s="1"/>
  <c r="D12" i="1"/>
  <c r="E12"/>
  <c r="L28" i="2" s="1"/>
  <c r="F12" i="1"/>
  <c r="B13"/>
  <c r="I29" i="2" s="1"/>
  <c r="C13" i="1"/>
  <c r="D13"/>
  <c r="K29" i="2" s="1"/>
  <c r="E13" i="1"/>
  <c r="F13"/>
  <c r="M29" i="2" s="1"/>
  <c r="B14" i="1"/>
  <c r="C14"/>
  <c r="J30" i="2" s="1"/>
  <c r="D14" i="1"/>
  <c r="E14"/>
  <c r="L30" i="2" s="1"/>
  <c r="F14" i="1"/>
  <c r="M30" i="2" s="1"/>
  <c r="B17" i="1"/>
  <c r="I25" i="3" s="1"/>
  <c r="I36" s="1"/>
  <c r="C17" i="1"/>
  <c r="D17"/>
  <c r="E17"/>
  <c r="F17"/>
  <c r="M25" i="3" s="1"/>
  <c r="M36" s="1"/>
  <c r="B18" i="1"/>
  <c r="I26" i="3" s="1"/>
  <c r="C18" i="1"/>
  <c r="J26" i="3" s="1"/>
  <c r="D18" i="1"/>
  <c r="E18"/>
  <c r="L26" i="3" s="1"/>
  <c r="F18" i="1"/>
  <c r="M26" i="3" s="1"/>
  <c r="B19" i="1"/>
  <c r="I27" i="3" s="1"/>
  <c r="C19" i="1"/>
  <c r="D19"/>
  <c r="K27" i="3" s="1"/>
  <c r="E19" i="1"/>
  <c r="L27" i="3" s="1"/>
  <c r="F19" i="1"/>
  <c r="M27" i="3" s="1"/>
  <c r="B20" i="1"/>
  <c r="C20"/>
  <c r="D20"/>
  <c r="K28" i="3" s="1"/>
  <c r="E20" i="1"/>
  <c r="F20"/>
  <c r="B21"/>
  <c r="C21"/>
  <c r="D21"/>
  <c r="E21"/>
  <c r="F21"/>
  <c r="B22"/>
  <c r="I30" i="3" s="1"/>
  <c r="C22" i="1"/>
  <c r="J30" i="3" s="1"/>
  <c r="D22" i="1"/>
  <c r="K30" i="3" s="1"/>
  <c r="E22" i="1"/>
  <c r="L30" i="3" s="1"/>
  <c r="F22" i="1"/>
  <c r="M30" i="3" s="1"/>
  <c r="B23" i="1"/>
  <c r="I31" i="3" s="1"/>
  <c r="C23" i="1"/>
  <c r="D23"/>
  <c r="K31" i="3" s="1"/>
  <c r="E23" i="1"/>
  <c r="L31" i="3" s="1"/>
  <c r="F23" i="1"/>
  <c r="M31" i="3" s="1"/>
  <c r="B24" i="1"/>
  <c r="C24"/>
  <c r="J32" i="3" s="1"/>
  <c r="D24" i="1"/>
  <c r="K32" i="3" s="1"/>
  <c r="E24" i="1"/>
  <c r="F24"/>
  <c r="B25"/>
  <c r="I33" i="3" s="1"/>
  <c r="C25" i="1"/>
  <c r="J33" i="3" s="1"/>
  <c r="D25" i="1"/>
  <c r="E25"/>
  <c r="F25"/>
  <c r="M33" i="3" s="1"/>
  <c r="B26" i="1"/>
  <c r="I34" i="3" s="1"/>
  <c r="C26" i="1"/>
  <c r="J34" i="3" s="1"/>
  <c r="D26" i="1"/>
  <c r="E26"/>
  <c r="F26"/>
  <c r="M34" i="3" s="1"/>
  <c r="B27" i="1"/>
  <c r="C27"/>
  <c r="J35" i="3" s="1"/>
  <c r="D27" i="1"/>
  <c r="K35" i="3" s="1"/>
  <c r="E27" i="1"/>
  <c r="L35" i="3" s="1"/>
  <c r="F27" i="1"/>
  <c r="M35" i="3" s="1"/>
  <c r="B31" i="1"/>
  <c r="C31"/>
  <c r="K20" i="4" s="1"/>
  <c r="D31" i="1"/>
  <c r="E31"/>
  <c r="F31"/>
  <c r="N20" i="4" s="1"/>
  <c r="B32" i="1"/>
  <c r="J21" i="4" s="1"/>
  <c r="C32" i="1"/>
  <c r="D32"/>
  <c r="E32"/>
  <c r="M21" i="4" s="1"/>
  <c r="F32" i="1"/>
  <c r="N21" i="4" s="1"/>
  <c r="B33" i="1"/>
  <c r="C33"/>
  <c r="D33"/>
  <c r="L22" i="4" s="1"/>
  <c r="E33" i="1"/>
  <c r="M22" i="4" s="1"/>
  <c r="F33" i="1"/>
  <c r="B34"/>
  <c r="J23" i="4" s="1"/>
  <c r="C34" i="1"/>
  <c r="K23" i="4" s="1"/>
  <c r="D34" i="1"/>
  <c r="L23" i="4" s="1"/>
  <c r="E34" i="1"/>
  <c r="F34"/>
  <c r="B35"/>
  <c r="J24" i="4" s="1"/>
  <c r="C35" i="1"/>
  <c r="K24" i="4" s="1"/>
  <c r="D35" i="1"/>
  <c r="L24" i="4" s="1"/>
  <c r="E35" i="1"/>
  <c r="F35"/>
  <c r="F36"/>
  <c r="F7" i="4" s="1"/>
  <c r="B42" i="1"/>
  <c r="C42"/>
  <c r="D42"/>
  <c r="E42"/>
  <c r="F42"/>
  <c r="B43"/>
  <c r="C43"/>
  <c r="D43"/>
  <c r="E43"/>
  <c r="F43"/>
  <c r="B48"/>
  <c r="C48"/>
  <c r="D48"/>
  <c r="E48"/>
  <c r="F48"/>
  <c r="B49"/>
  <c r="C49"/>
  <c r="D49"/>
  <c r="E49"/>
  <c r="F49"/>
  <c r="B51"/>
  <c r="C51"/>
  <c r="D51"/>
  <c r="E51"/>
  <c r="E53" s="1"/>
  <c r="F51"/>
  <c r="B52"/>
  <c r="C52"/>
  <c r="C53" s="1"/>
  <c r="D52"/>
  <c r="D53" s="1"/>
  <c r="E52"/>
  <c r="F52"/>
  <c r="B54"/>
  <c r="B59"/>
  <c r="B64" s="1"/>
  <c r="C59"/>
  <c r="D21" i="5" s="1"/>
  <c r="D59" i="1"/>
  <c r="D64" s="1"/>
  <c r="E59"/>
  <c r="F21" i="5" s="1"/>
  <c r="F59" i="1"/>
  <c r="F64" s="1"/>
  <c r="C64"/>
  <c r="A1" i="2"/>
  <c r="I6"/>
  <c r="H22" s="1"/>
  <c r="H31" s="1"/>
  <c r="I7"/>
  <c r="H23" s="1"/>
  <c r="I8"/>
  <c r="H24" s="1"/>
  <c r="I9"/>
  <c r="H25" s="1"/>
  <c r="I10"/>
  <c r="H26" s="1"/>
  <c r="I11"/>
  <c r="H27" s="1"/>
  <c r="I12"/>
  <c r="H28" s="1"/>
  <c r="I13"/>
  <c r="H29" s="1"/>
  <c r="I14"/>
  <c r="H30" s="1"/>
  <c r="I15"/>
  <c r="I21"/>
  <c r="M21"/>
  <c r="J22"/>
  <c r="K22"/>
  <c r="K31" s="1"/>
  <c r="J23"/>
  <c r="M23"/>
  <c r="I24"/>
  <c r="M24"/>
  <c r="K25"/>
  <c r="M25"/>
  <c r="I26"/>
  <c r="K26"/>
  <c r="L26"/>
  <c r="M26"/>
  <c r="J27"/>
  <c r="K27"/>
  <c r="L27"/>
  <c r="I28"/>
  <c r="K28"/>
  <c r="M28"/>
  <c r="J29"/>
  <c r="K30"/>
  <c r="J31"/>
  <c r="A38"/>
  <c r="A1" i="3"/>
  <c r="C4"/>
  <c r="I5"/>
  <c r="I6"/>
  <c r="I7"/>
  <c r="I8"/>
  <c r="I9"/>
  <c r="I10"/>
  <c r="I11"/>
  <c r="I12"/>
  <c r="I13"/>
  <c r="I14"/>
  <c r="I15"/>
  <c r="I24"/>
  <c r="L24"/>
  <c r="M24"/>
  <c r="H25"/>
  <c r="H36" s="1"/>
  <c r="J25"/>
  <c r="J36" s="1"/>
  <c r="K25"/>
  <c r="K36" s="1"/>
  <c r="L25"/>
  <c r="L36" s="1"/>
  <c r="H26"/>
  <c r="K26"/>
  <c r="H27"/>
  <c r="J27"/>
  <c r="H28"/>
  <c r="I28"/>
  <c r="J28"/>
  <c r="L28"/>
  <c r="M28"/>
  <c r="H29"/>
  <c r="I29"/>
  <c r="J29"/>
  <c r="K29"/>
  <c r="L29"/>
  <c r="M29"/>
  <c r="H30"/>
  <c r="H31"/>
  <c r="J31"/>
  <c r="H32"/>
  <c r="I32"/>
  <c r="L32"/>
  <c r="M32"/>
  <c r="H33"/>
  <c r="K33"/>
  <c r="L33"/>
  <c r="H34"/>
  <c r="K34"/>
  <c r="L34"/>
  <c r="H35"/>
  <c r="A42"/>
  <c r="A1" i="4"/>
  <c r="B4"/>
  <c r="F4"/>
  <c r="A5"/>
  <c r="J5"/>
  <c r="A6"/>
  <c r="J6"/>
  <c r="A7"/>
  <c r="J7"/>
  <c r="J10"/>
  <c r="J11"/>
  <c r="J12"/>
  <c r="J13"/>
  <c r="J14"/>
  <c r="J15"/>
  <c r="J19"/>
  <c r="N19"/>
  <c r="I20"/>
  <c r="J20"/>
  <c r="L20"/>
  <c r="M20"/>
  <c r="I21"/>
  <c r="K21"/>
  <c r="L21"/>
  <c r="I22"/>
  <c r="K22"/>
  <c r="N22"/>
  <c r="I23"/>
  <c r="M23"/>
  <c r="N23"/>
  <c r="I24"/>
  <c r="M24"/>
  <c r="N24"/>
  <c r="A38"/>
  <c r="A1" i="5"/>
  <c r="C4"/>
  <c r="D4"/>
  <c r="E4"/>
  <c r="G4"/>
  <c r="L4"/>
  <c r="P4"/>
  <c r="U4"/>
  <c r="U6" s="1"/>
  <c r="V4"/>
  <c r="V6" s="1"/>
  <c r="B5"/>
  <c r="C5"/>
  <c r="D5"/>
  <c r="E5"/>
  <c r="F5"/>
  <c r="G5"/>
  <c r="K5"/>
  <c r="L5"/>
  <c r="M5"/>
  <c r="N5"/>
  <c r="O5"/>
  <c r="P5"/>
  <c r="T5"/>
  <c r="B6"/>
  <c r="C6"/>
  <c r="D6"/>
  <c r="E6"/>
  <c r="F6"/>
  <c r="G6"/>
  <c r="K6"/>
  <c r="L6"/>
  <c r="M6"/>
  <c r="N6"/>
  <c r="O6"/>
  <c r="P6"/>
  <c r="T6"/>
  <c r="T7"/>
  <c r="C20"/>
  <c r="E20"/>
  <c r="G20"/>
  <c r="B21"/>
  <c r="E21"/>
  <c r="Q21"/>
  <c r="B22"/>
  <c r="C22"/>
  <c r="D22"/>
  <c r="E22"/>
  <c r="F22"/>
  <c r="G22"/>
  <c r="Q22"/>
  <c r="B23"/>
  <c r="C23"/>
  <c r="D23"/>
  <c r="E23"/>
  <c r="F23"/>
  <c r="G23"/>
  <c r="Q23"/>
  <c r="B24"/>
  <c r="C24"/>
  <c r="D24"/>
  <c r="E24"/>
  <c r="F24"/>
  <c r="G24"/>
  <c r="Q24"/>
  <c r="B25"/>
  <c r="C25"/>
  <c r="D25"/>
  <c r="E25"/>
  <c r="F25"/>
  <c r="G25"/>
  <c r="Q25"/>
  <c r="A38"/>
  <c r="C28" i="1" l="1"/>
  <c r="C6" i="4" s="1"/>
  <c r="O4" i="5"/>
  <c r="L9" i="4"/>
  <c r="E4"/>
  <c r="F20" i="5"/>
  <c r="F4"/>
  <c r="M19" i="4"/>
  <c r="F53" i="1"/>
  <c r="B53"/>
  <c r="C54"/>
  <c r="C15"/>
  <c r="C5" i="4" s="1"/>
  <c r="G21" i="5"/>
  <c r="C29" i="1"/>
  <c r="M4" i="5"/>
  <c r="J24" i="2"/>
  <c r="D36" i="1"/>
  <c r="D7" i="4" s="1"/>
  <c r="B28" i="1"/>
  <c r="B6" i="4" s="1"/>
  <c r="D28" i="1"/>
  <c r="D6" i="4" s="1"/>
  <c r="B15" i="1"/>
  <c r="B5" i="4" s="1"/>
  <c r="D15" i="1"/>
  <c r="D20" i="5"/>
  <c r="L19" i="4"/>
  <c r="K9"/>
  <c r="K10" s="1"/>
  <c r="D4"/>
  <c r="I35" i="3"/>
  <c r="K24"/>
  <c r="I30" i="2"/>
  <c r="K21"/>
  <c r="L13" i="4"/>
  <c r="L11"/>
  <c r="F28" i="1"/>
  <c r="K4" i="3" s="1"/>
  <c r="F15" i="1"/>
  <c r="K5" i="2" s="1"/>
  <c r="K19" i="4"/>
  <c r="L14"/>
  <c r="L12"/>
  <c r="C4"/>
  <c r="J24" i="3"/>
  <c r="C36" i="1"/>
  <c r="C7" i="4" s="1"/>
  <c r="B36" i="1"/>
  <c r="B7" i="4" s="1"/>
  <c r="J22"/>
  <c r="H63" i="1"/>
  <c r="S25" i="5" s="1"/>
  <c r="H53" i="1"/>
  <c r="H42"/>
  <c r="H24"/>
  <c r="H22"/>
  <c r="H21"/>
  <c r="H19"/>
  <c r="H60"/>
  <c r="S22" i="5" s="1"/>
  <c r="H33" i="1"/>
  <c r="H31"/>
  <c r="H23"/>
  <c r="H20"/>
  <c r="H9"/>
  <c r="H8"/>
  <c r="H61"/>
  <c r="S23" i="5" s="1"/>
  <c r="H32" i="1"/>
  <c r="H26"/>
  <c r="S20" i="5"/>
  <c r="H62" i="1"/>
  <c r="S24" i="5" s="1"/>
  <c r="H59" i="1"/>
  <c r="S21" i="5" s="1"/>
  <c r="H48" i="1"/>
  <c r="H35"/>
  <c r="H34"/>
  <c r="H27"/>
  <c r="H18"/>
  <c r="H17"/>
  <c r="H14"/>
  <c r="H11"/>
  <c r="H25"/>
  <c r="H13"/>
  <c r="H12"/>
  <c r="H10"/>
  <c r="H7"/>
  <c r="H6"/>
  <c r="C21" i="5"/>
  <c r="F54" i="1"/>
  <c r="D54"/>
  <c r="E54"/>
  <c r="U7" i="5" s="1"/>
  <c r="V7"/>
  <c r="V5"/>
  <c r="U5"/>
  <c r="F29" i="1"/>
  <c r="L4" i="4" s="1"/>
  <c r="F5"/>
  <c r="G7" i="1"/>
  <c r="G11"/>
  <c r="G20"/>
  <c r="G24"/>
  <c r="G33"/>
  <c r="G42"/>
  <c r="G48"/>
  <c r="G60"/>
  <c r="R22" i="5" s="1"/>
  <c r="G62" i="1"/>
  <c r="R24" i="5" s="1"/>
  <c r="G8" i="1"/>
  <c r="G12"/>
  <c r="G17"/>
  <c r="G21"/>
  <c r="G25"/>
  <c r="G34"/>
  <c r="G9"/>
  <c r="G13"/>
  <c r="G18"/>
  <c r="G22"/>
  <c r="G26"/>
  <c r="G31"/>
  <c r="G35"/>
  <c r="G53"/>
  <c r="G59"/>
  <c r="R21" i="5" s="1"/>
  <c r="G61" i="1"/>
  <c r="R23" i="5" s="1"/>
  <c r="G63" i="1"/>
  <c r="R25" i="5" s="1"/>
  <c r="G6" i="1"/>
  <c r="G10"/>
  <c r="G14"/>
  <c r="G19"/>
  <c r="G23"/>
  <c r="G27"/>
  <c r="G32"/>
  <c r="G64"/>
  <c r="R20" i="5"/>
  <c r="D5" i="4"/>
  <c r="F6"/>
  <c r="L29" i="2"/>
  <c r="L25"/>
  <c r="K11" i="4"/>
  <c r="E28" i="1"/>
  <c r="G28" s="1"/>
  <c r="E15"/>
  <c r="G15" s="1"/>
  <c r="E64"/>
  <c r="H64" s="1"/>
  <c r="E36"/>
  <c r="K15" i="4" s="1"/>
  <c r="M10" l="1"/>
  <c r="K13"/>
  <c r="M13" s="1"/>
  <c r="L10"/>
  <c r="L15"/>
  <c r="M15" s="1"/>
  <c r="G36" i="1"/>
  <c r="K14" i="4"/>
  <c r="K12"/>
  <c r="M12" s="1"/>
  <c r="M14"/>
  <c r="B29" i="1"/>
  <c r="D29"/>
  <c r="M11" i="4"/>
  <c r="J5" i="2"/>
  <c r="K6"/>
  <c r="K7"/>
  <c r="K8"/>
  <c r="K9"/>
  <c r="K10"/>
  <c r="K11"/>
  <c r="K12"/>
  <c r="K13"/>
  <c r="K14"/>
  <c r="K15"/>
  <c r="H28" i="1"/>
  <c r="E6" i="4"/>
  <c r="K4"/>
  <c r="L5"/>
  <c r="L7"/>
  <c r="L6"/>
  <c r="H15" i="1"/>
  <c r="E29"/>
  <c r="H29" s="1"/>
  <c r="E5" i="4"/>
  <c r="J4" i="3"/>
  <c r="K5"/>
  <c r="K6"/>
  <c r="K7"/>
  <c r="K8"/>
  <c r="K9"/>
  <c r="K10"/>
  <c r="K11"/>
  <c r="K12"/>
  <c r="K13"/>
  <c r="K14"/>
  <c r="K15"/>
  <c r="K16"/>
  <c r="H36" i="1"/>
  <c r="E7" i="4"/>
  <c r="G29" i="1" l="1"/>
  <c r="K6" i="4"/>
  <c r="M6" s="1"/>
  <c r="K5"/>
  <c r="M5" s="1"/>
  <c r="K7"/>
  <c r="M7" s="1"/>
  <c r="J5" i="3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6" i="2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</calcChain>
</file>

<file path=xl/sharedStrings.xml><?xml version="1.0" encoding="utf-8"?>
<sst xmlns="http://schemas.openxmlformats.org/spreadsheetml/2006/main" count="370" uniqueCount="215">
  <si>
    <t>Fines &amp; Forfeitures</t>
  </si>
  <si>
    <t>Other Revenues</t>
  </si>
  <si>
    <t>3. Revenue sources - compared to the prior year</t>
  </si>
  <si>
    <t>State aid - health and/or hospitals</t>
  </si>
  <si>
    <t>Federal govt. grants - health and/or hospitals</t>
  </si>
  <si>
    <t>Federal govt. grants - sanitation</t>
  </si>
  <si>
    <t>State Government</t>
  </si>
  <si>
    <t>Commentary:</t>
  </si>
  <si>
    <t>Other public works</t>
  </si>
  <si>
    <t>Health &amp; Welfare</t>
  </si>
  <si>
    <t>Judicial</t>
  </si>
  <si>
    <t>Federal govt. grants - other</t>
  </si>
  <si>
    <t>Change</t>
  </si>
  <si>
    <t>Landfill Closure &amp; Postclosure Care</t>
  </si>
  <si>
    <t>Health dept.</t>
  </si>
  <si>
    <t>Other cultural activities</t>
  </si>
  <si>
    <t>Clerk</t>
  </si>
  <si>
    <t>Federal govt. grants - public safety</t>
  </si>
  <si>
    <t>Local donations - health and/or hospitals</t>
  </si>
  <si>
    <t>Property taxes</t>
  </si>
  <si>
    <t>Ambulance</t>
  </si>
  <si>
    <t>Elections</t>
  </si>
  <si>
    <t>Revenues</t>
  </si>
  <si>
    <t>Committed</t>
  </si>
  <si>
    <t>Jail</t>
  </si>
  <si>
    <t xml:space="preserve"> </t>
  </si>
  <si>
    <t>Local donations - housing &amp; community development</t>
  </si>
  <si>
    <t>All other gen gov.</t>
  </si>
  <si>
    <t>State aid - general government</t>
  </si>
  <si>
    <t xml:space="preserve">4. Historical trends of individual components </t>
  </si>
  <si>
    <t>Other charges for services</t>
  </si>
  <si>
    <t>Unfunded (Overfunded)</t>
  </si>
  <si>
    <t>FUND BALANCE</t>
  </si>
  <si>
    <t>State aid - culture &amp; recreation</t>
  </si>
  <si>
    <t>Industrial facilities tax</t>
  </si>
  <si>
    <t>Public housing</t>
  </si>
  <si>
    <t>Date of actuarial valuation:</t>
  </si>
  <si>
    <t>General government</t>
  </si>
  <si>
    <t>Court-ordered fees and charges</t>
  </si>
  <si>
    <t>Statutory court fees &amp; charges</t>
  </si>
  <si>
    <t>Licenses &amp; Permits</t>
  </si>
  <si>
    <t>Financial Position
All governmental funds</t>
  </si>
  <si>
    <t>Fines, penalties &amp; forfeits</t>
  </si>
  <si>
    <t>EXPENDITURES</t>
  </si>
  <si>
    <t>Other public safety</t>
  </si>
  <si>
    <t>Other Public Works</t>
  </si>
  <si>
    <t>Liabilities not counted on a 
modified-accrual basis</t>
  </si>
  <si>
    <t>Library</t>
  </si>
  <si>
    <t>Income tax</t>
  </si>
  <si>
    <t>Interfund transfers In</t>
  </si>
  <si>
    <t>Nonspendable</t>
  </si>
  <si>
    <t>Contact Name:</t>
  </si>
  <si>
    <t>Other Contractual Debt</t>
  </si>
  <si>
    <t>Other health &amp; welfare</t>
  </si>
  <si>
    <t>State aid - electric</t>
  </si>
  <si>
    <t>This sheet is unprotected</t>
  </si>
  <si>
    <t>Federal govt. grants - streets &amp; highways</t>
  </si>
  <si>
    <t>Misc. other revenue</t>
  </si>
  <si>
    <t>Local donations - streets &amp; highways</t>
  </si>
  <si>
    <t>General Government</t>
  </si>
  <si>
    <t>3. Spending - compared to the prior year</t>
  </si>
  <si>
    <t>Election charges</t>
  </si>
  <si>
    <t>Police &amp; Fire</t>
  </si>
  <si>
    <t>Trash disposal &amp; landfilling</t>
  </si>
  <si>
    <t>This sheet has been protected with no password; Commentary field has been left unlocked</t>
  </si>
  <si>
    <t>1. How have we managed our governmental fund resources (fund balance)</t>
  </si>
  <si>
    <t>Child care</t>
  </si>
  <si>
    <t>Police</t>
  </si>
  <si>
    <t>REVENUES</t>
  </si>
  <si>
    <t>Federal govt. grants - transit</t>
  </si>
  <si>
    <t>Local donations - other</t>
  </si>
  <si>
    <t>Medical examiner</t>
  </si>
  <si>
    <t>Unfunded</t>
  </si>
  <si>
    <t>Aggregation</t>
  </si>
  <si>
    <t>Finance</t>
  </si>
  <si>
    <t>Local Contributions</t>
  </si>
  <si>
    <t>Parking fees</t>
  </si>
  <si>
    <t>All other fees</t>
  </si>
  <si>
    <t xml:space="preserve">Local donations - Gas, water, electric </t>
  </si>
  <si>
    <t>Uninsured Losses</t>
  </si>
  <si>
    <t>State revenue sharing</t>
  </si>
  <si>
    <t>Commercial facilities tax</t>
  </si>
  <si>
    <t>Water &amp; sewer</t>
  </si>
  <si>
    <t>Local donations - transit</t>
  </si>
  <si>
    <t>Interfund transfers out</t>
  </si>
  <si>
    <t>Per capita information</t>
  </si>
  <si>
    <t>Business licenses &amp; permits</t>
  </si>
  <si>
    <t>Fund balance, by component:</t>
  </si>
  <si>
    <t>Local donations - public safety</t>
  </si>
  <si>
    <t>State aid - public safety</t>
  </si>
  <si>
    <t xml:space="preserve">4. Historical trends of individual sources </t>
  </si>
  <si>
    <t>3. Percent funded - compared to the prior year</t>
  </si>
  <si>
    <t>Federal govt. grants - culture &amp; recreation</t>
  </si>
  <si>
    <t>Federal Government</t>
  </si>
  <si>
    <t>State payment in lieu of taxes</t>
  </si>
  <si>
    <t>Oher community development</t>
  </si>
  <si>
    <t>Employee Compensated Absences</t>
  </si>
  <si>
    <t>Bonds &amp; Contracts Payable</t>
  </si>
  <si>
    <t>Combined public safety</t>
  </si>
  <si>
    <t>Alcoholism &amp; substance abuse</t>
  </si>
  <si>
    <t>Register of Deeds fees</t>
  </si>
  <si>
    <t>Pensions</t>
  </si>
  <si>
    <t>Other  refunds &amp; rebates</t>
  </si>
  <si>
    <t>Assets</t>
  </si>
  <si>
    <t>Federal govt. grants - water</t>
  </si>
  <si>
    <t>Hospital</t>
  </si>
  <si>
    <t>Debt issuance</t>
  </si>
  <si>
    <t>4. Historical trends of individual departments:</t>
  </si>
  <si>
    <t>All Governmental Funds (col. A &amp; b)</t>
  </si>
  <si>
    <t>F-65 line</t>
  </si>
  <si>
    <t>State aid - sanitation</t>
  </si>
  <si>
    <t>Statement Of Revenue &amp; Expense
All governmental funds</t>
  </si>
  <si>
    <t>Capital Outlay</t>
  </si>
  <si>
    <t>Debt service</t>
  </si>
  <si>
    <t>Total Revenues</t>
  </si>
  <si>
    <t>1. Where our money comes from (all governmental funds)</t>
  </si>
  <si>
    <t>State swamp and land taxes</t>
  </si>
  <si>
    <t>Parks and recreation fees</t>
  </si>
  <si>
    <t>Population information</t>
  </si>
  <si>
    <t>State aid - housing &amp; community development</t>
  </si>
  <si>
    <t>Assessing</t>
  </si>
  <si>
    <t>Interest &amp; Rents</t>
  </si>
  <si>
    <t>State aid - streets &amp; bridges</t>
  </si>
  <si>
    <t>Local donations - culture &amp; recreation</t>
  </si>
  <si>
    <t>Sum of All Pension &amp; OPEB Plans</t>
  </si>
  <si>
    <t>Debt:</t>
  </si>
  <si>
    <t>Police fees</t>
  </si>
  <si>
    <t>Other Public Safety</t>
  </si>
  <si>
    <t>Structured Debt</t>
  </si>
  <si>
    <t>Restricted</t>
  </si>
  <si>
    <t>Other Expenditures</t>
  </si>
  <si>
    <t>5. Debt &amp; other long term obligations per capita - compared to the prior year</t>
  </si>
  <si>
    <t>1. Pension funding status</t>
  </si>
  <si>
    <t>All other statutory fees</t>
  </si>
  <si>
    <t>Federal govt. grants - general government</t>
  </si>
  <si>
    <t>State aid - other</t>
  </si>
  <si>
    <t>Economic development</t>
  </si>
  <si>
    <t>Contact information</t>
  </si>
  <si>
    <t>Assigned</t>
  </si>
  <si>
    <t>Contact Phone Number:</t>
  </si>
  <si>
    <t>Mental health</t>
  </si>
  <si>
    <t>Taxes</t>
  </si>
  <si>
    <t>Treasurer</t>
  </si>
  <si>
    <t>Special assessments</t>
  </si>
  <si>
    <t>Federal govt. grants - electric</t>
  </si>
  <si>
    <t>CITIZENS' GUIDE TO LOCAL UNIT FINANCES - Lake Linden - Houghton</t>
  </si>
  <si>
    <t>Fringe benefits not directly allocated to departments</t>
  </si>
  <si>
    <t>Building &amp; grounds</t>
  </si>
  <si>
    <t>2. Retiree Health care funding status</t>
  </si>
  <si>
    <t>Legislative</t>
  </si>
  <si>
    <t>Veterans' programs</t>
  </si>
  <si>
    <t>Parks &amp; recreation</t>
  </si>
  <si>
    <t>State pass-thru of act 51(Streets)</t>
  </si>
  <si>
    <t>Trailer taxes</t>
  </si>
  <si>
    <t>1. Where we spend our money (all governmental funds)</t>
  </si>
  <si>
    <t>Clerk's office charges</t>
  </si>
  <si>
    <t>Unlocked cells have conditional formatting set so that when they are blank, they are colored yellow.</t>
  </si>
  <si>
    <t>Interest &amp; dividends</t>
  </si>
  <si>
    <t>Use the picklist on chart 4 to see other data</t>
  </si>
  <si>
    <t>Airports</t>
  </si>
  <si>
    <t xml:space="preserve">DPW </t>
  </si>
  <si>
    <t>Public transportation</t>
  </si>
  <si>
    <t>Extraordinary/ Special items</t>
  </si>
  <si>
    <t>This sheet has been protected with no password</t>
  </si>
  <si>
    <t>Human services</t>
  </si>
  <si>
    <t>Actuarial Liability</t>
  </si>
  <si>
    <t>Charges for Services</t>
  </si>
  <si>
    <t>Local donations - general government</t>
  </si>
  <si>
    <t>State aid - water</t>
  </si>
  <si>
    <t>Non-business licenses &amp; permits</t>
  </si>
  <si>
    <t>Recreation &amp; Culture</t>
  </si>
  <si>
    <t>Roads &amp; bridges</t>
  </si>
  <si>
    <t>Debt Service</t>
  </si>
  <si>
    <t xml:space="preserve">2. Compared to the prior year </t>
  </si>
  <si>
    <t>Total Expenditures</t>
  </si>
  <si>
    <t>Dispatch (if separate)</t>
  </si>
  <si>
    <t>Local donations - welfare</t>
  </si>
  <si>
    <t>Description</t>
  </si>
  <si>
    <t>Chief executive</t>
  </si>
  <si>
    <t>State aid - welfare</t>
  </si>
  <si>
    <t xml:space="preserve">Roads </t>
  </si>
  <si>
    <t>Total Fund Balance</t>
  </si>
  <si>
    <t>Capital outlay</t>
  </si>
  <si>
    <t>Building regulations</t>
  </si>
  <si>
    <t>Planning &amp; zoning</t>
  </si>
  <si>
    <t>Hotel/ motel tax</t>
  </si>
  <si>
    <t>Sale of fixed assets</t>
  </si>
  <si>
    <t>Federal govt. grants - welfare</t>
  </si>
  <si>
    <t>State aid - transit</t>
  </si>
  <si>
    <t>Electricity</t>
  </si>
  <si>
    <t>Fire</t>
  </si>
  <si>
    <t>OPEB</t>
  </si>
  <si>
    <t>Rents &amp; royalties</t>
  </si>
  <si>
    <t>4. Long Term Debt obligations:</t>
  </si>
  <si>
    <t>Water (separate fund)</t>
  </si>
  <si>
    <t>Chart data for charts 1, 2, 3, 4 &amp; 5 are located underneath the charts.</t>
  </si>
  <si>
    <t>Other Claims &amp; Contingencies</t>
  </si>
  <si>
    <t>Total Long Term Debt (Excl. Pension &amp; RHC)</t>
  </si>
  <si>
    <t>Local donations - sanitation</t>
  </si>
  <si>
    <t>Contributions</t>
  </si>
  <si>
    <t>Capital Leases</t>
  </si>
  <si>
    <t>Tax reverted property</t>
  </si>
  <si>
    <t>Federal govt. grants - housing &amp; community development</t>
  </si>
  <si>
    <t>Unassigned</t>
  </si>
  <si>
    <t>Percent funded</t>
  </si>
  <si>
    <t>Expenditures</t>
  </si>
  <si>
    <t>Chart data for charts 1, 3 &amp; 4 are located underneath the charts.</t>
  </si>
  <si>
    <t>Ambulance services</t>
  </si>
  <si>
    <t>3. Fund balance - compared to the prior year</t>
  </si>
  <si>
    <t>Surplus (Shortfall)</t>
  </si>
  <si>
    <t>Fire run charges</t>
  </si>
  <si>
    <t>Community/Econ. Development</t>
  </si>
  <si>
    <t>Area agency on aging</t>
  </si>
  <si>
    <t>906-296-9911</t>
  </si>
  <si>
    <t>Robert Poirier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</si>
</sst>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&quot;-&quot;_);_(@_)"/>
  </numFmts>
  <fonts count="31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sz val="11"/>
      <color indexed="12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1"/>
      <color indexed="30"/>
      <name val="Calibri"/>
      <family val="2"/>
    </font>
    <font>
      <sz val="11"/>
      <color indexed="55"/>
      <name val="Calibr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41" fontId="0" fillId="0" borderId="0">
      <alignment vertical="center"/>
    </xf>
    <xf numFmtId="0" fontId="5" fillId="2" borderId="0"/>
    <xf numFmtId="0" fontId="5" fillId="3" borderId="0"/>
    <xf numFmtId="0" fontId="5" fillId="4" borderId="0"/>
    <xf numFmtId="0" fontId="5" fillId="5" borderId="0"/>
    <xf numFmtId="0" fontId="5" fillId="6" borderId="0"/>
    <xf numFmtId="0" fontId="5" fillId="7" borderId="0"/>
    <xf numFmtId="0" fontId="5" fillId="8" borderId="0"/>
    <xf numFmtId="0" fontId="5" fillId="9" borderId="0"/>
    <xf numFmtId="0" fontId="5" fillId="10" borderId="0"/>
    <xf numFmtId="0" fontId="5" fillId="5" borderId="0"/>
    <xf numFmtId="0" fontId="5" fillId="8" borderId="0"/>
    <xf numFmtId="0" fontId="5" fillId="11" borderId="0"/>
    <xf numFmtId="0" fontId="6" fillId="12" borderId="0"/>
    <xf numFmtId="0" fontId="6" fillId="9" borderId="0"/>
    <xf numFmtId="0" fontId="6" fillId="10" borderId="0"/>
    <xf numFmtId="0" fontId="6" fillId="13" borderId="0"/>
    <xf numFmtId="0" fontId="6" fillId="14" borderId="0"/>
    <xf numFmtId="0" fontId="6" fillId="15" borderId="0"/>
    <xf numFmtId="0" fontId="6" fillId="16" borderId="0"/>
    <xf numFmtId="0" fontId="6" fillId="17" borderId="0"/>
    <xf numFmtId="0" fontId="6" fillId="18" borderId="0"/>
    <xf numFmtId="0" fontId="6" fillId="13" borderId="0"/>
    <xf numFmtId="0" fontId="6" fillId="14" borderId="0"/>
    <xf numFmtId="0" fontId="6" fillId="19" borderId="0"/>
    <xf numFmtId="0" fontId="7" fillId="3" borderId="0"/>
    <xf numFmtId="0" fontId="8" fillId="20" borderId="1"/>
    <xf numFmtId="0" fontId="9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5" fillId="0" borderId="0">
      <alignment vertical="center"/>
    </xf>
    <xf numFmtId="42" fontId="1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0" fontId="10" fillId="0" borderId="0"/>
    <xf numFmtId="0" fontId="11" fillId="4" borderId="0"/>
    <xf numFmtId="0" fontId="12" fillId="0" borderId="3"/>
    <xf numFmtId="0" fontId="13" fillId="0" borderId="4"/>
    <xf numFmtId="0" fontId="14" fillId="0" borderId="5"/>
    <xf numFmtId="0" fontId="14" fillId="0" borderId="0"/>
    <xf numFmtId="0" fontId="15" fillId="7" borderId="1"/>
    <xf numFmtId="0" fontId="16" fillId="0" borderId="6"/>
    <xf numFmtId="0" fontId="17" fillId="22" borderId="0"/>
    <xf numFmtId="41" fontId="5" fillId="0" borderId="0">
      <alignment vertical="center"/>
    </xf>
    <xf numFmtId="0" fontId="5" fillId="23" borderId="7"/>
    <xf numFmtId="0" fontId="18" fillId="20" borderId="8"/>
    <xf numFmtId="9" fontId="5" fillId="0" borderId="0">
      <alignment vertical="center"/>
    </xf>
    <xf numFmtId="9" fontId="5" fillId="0" borderId="0">
      <alignment vertical="center"/>
    </xf>
    <xf numFmtId="49" fontId="3" fillId="0" borderId="0">
      <alignment horizontal="left" vertical="center"/>
    </xf>
    <xf numFmtId="0" fontId="19" fillId="0" borderId="0"/>
    <xf numFmtId="0" fontId="20" fillId="0" borderId="9"/>
    <xf numFmtId="0" fontId="21" fillId="0" borderId="0"/>
  </cellStyleXfs>
  <cellXfs count="161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0" fillId="0" borderId="10" xfId="0" applyNumberFormat="1" applyFont="1" applyBorder="1" applyAlignment="1">
      <alignment vertical="center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18" xfId="0" applyNumberFormat="1" applyFont="1" applyFill="1" applyBorder="1" applyAlignment="1" applyProtection="1">
      <alignment horizontal="left" vertical="center"/>
    </xf>
    <xf numFmtId="41" fontId="0" fillId="0" borderId="18" xfId="0" applyNumberFormat="1" applyFont="1" applyFill="1" applyBorder="1" applyAlignment="1" applyProtection="1">
      <alignment horizontal="centerContinuous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5" fontId="27" fillId="0" borderId="0" xfId="0" applyNumberFormat="1" applyFont="1" applyFill="1" applyBorder="1" applyAlignment="1" applyProtection="1">
      <alignment horizontal="center" vertical="center"/>
    </xf>
    <xf numFmtId="5" fontId="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41" fontId="0" fillId="0" borderId="19" xfId="0" applyNumberFormat="1" applyFont="1" applyFill="1" applyBorder="1" applyAlignment="1" applyProtection="1">
      <alignment vertical="center"/>
    </xf>
    <xf numFmtId="41" fontId="0" fillId="0" borderId="10" xfId="0" applyNumberFormat="1" applyFont="1" applyBorder="1" applyAlignment="1" applyProtection="1">
      <alignment vertical="center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41" fontId="0" fillId="0" borderId="15" xfId="0" applyNumberFormat="1" applyFont="1" applyBorder="1" applyAlignment="1" applyProtection="1">
      <alignment vertical="center"/>
    </xf>
    <xf numFmtId="41" fontId="0" fillId="0" borderId="14" xfId="0" applyNumberFormat="1" applyFont="1" applyBorder="1" applyAlignment="1" applyProtection="1">
      <alignment vertical="center"/>
    </xf>
    <xf numFmtId="41" fontId="0" fillId="0" borderId="13" xfId="0" applyNumberFormat="1" applyFont="1" applyBorder="1" applyAlignment="1" applyProtection="1">
      <alignment vertical="center"/>
    </xf>
    <xf numFmtId="41" fontId="0" fillId="0" borderId="16" xfId="0" applyNumberFormat="1" applyFont="1" applyBorder="1" applyAlignment="1" applyProtection="1">
      <alignment vertical="center"/>
    </xf>
    <xf numFmtId="41" fontId="0" fillId="0" borderId="17" xfId="0" applyNumberFormat="1" applyFont="1" applyBorder="1" applyAlignment="1" applyProtection="1">
      <alignment vertical="center"/>
    </xf>
    <xf numFmtId="41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20" xfId="0" applyNumberFormat="1" applyFont="1" applyFill="1" applyBorder="1" applyAlignment="1" applyProtection="1">
      <alignment horizontal="left" vertical="center" indent="2"/>
    </xf>
    <xf numFmtId="0" fontId="0" fillId="0" borderId="21" xfId="0" applyNumberFormat="1" applyFont="1" applyFill="1" applyBorder="1" applyAlignment="1" applyProtection="1">
      <alignment horizontal="left" vertical="center" indent="1"/>
    </xf>
    <xf numFmtId="41" fontId="0" fillId="0" borderId="22" xfId="0" applyNumberFormat="1" applyFont="1" applyFill="1" applyBorder="1" applyAlignment="1" applyProtection="1">
      <alignment vertical="center"/>
    </xf>
    <xf numFmtId="41" fontId="0" fillId="0" borderId="23" xfId="0" applyNumberFormat="1" applyFont="1" applyFill="1" applyBorder="1" applyAlignment="1" applyProtection="1">
      <alignment vertical="center"/>
    </xf>
    <xf numFmtId="14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indent="2"/>
    </xf>
    <xf numFmtId="41" fontId="0" fillId="0" borderId="22" xfId="0" applyNumberFormat="1" applyFont="1" applyFill="1" applyBorder="1" applyAlignment="1" applyProtection="1">
      <alignment vertical="center"/>
      <protection locked="0"/>
    </xf>
    <xf numFmtId="0" fontId="24" fillId="0" borderId="25" xfId="0" applyNumberFormat="1" applyFont="1" applyFill="1" applyBorder="1" applyAlignment="1" applyProtection="1">
      <alignment vertical="center"/>
    </xf>
    <xf numFmtId="41" fontId="0" fillId="0" borderId="26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>
      <alignment vertical="center" wrapText="1"/>
    </xf>
    <xf numFmtId="0" fontId="29" fillId="0" borderId="18" xfId="0" applyNumberFormat="1" applyFont="1" applyFill="1" applyBorder="1" applyAlignment="1" applyProtection="1">
      <alignment horizontal="left" vertical="center" inden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left" vertical="center" indent="1"/>
    </xf>
    <xf numFmtId="41" fontId="0" fillId="0" borderId="28" xfId="0" applyNumberFormat="1" applyFont="1" applyFill="1" applyBorder="1" applyAlignment="1" applyProtection="1">
      <alignment vertical="center"/>
    </xf>
    <xf numFmtId="41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left" vertical="center" indent="1"/>
    </xf>
    <xf numFmtId="41" fontId="0" fillId="0" borderId="31" xfId="0" applyNumberFormat="1" applyFont="1" applyFill="1" applyBorder="1" applyAlignment="1" applyProtection="1">
      <alignment vertical="center"/>
    </xf>
    <xf numFmtId="41" fontId="0" fillId="0" borderId="32" xfId="0" applyNumberFormat="1" applyFont="1" applyFill="1" applyBorder="1" applyAlignment="1" applyProtection="1">
      <alignment vertical="center"/>
    </xf>
    <xf numFmtId="0" fontId="0" fillId="0" borderId="33" xfId="0" applyNumberFormat="1" applyFont="1" applyFill="1" applyBorder="1" applyAlignment="1" applyProtection="1">
      <alignment horizontal="left" vertical="center" indent="1"/>
    </xf>
    <xf numFmtId="41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horizontal="left" vertical="center" indent="1"/>
    </xf>
    <xf numFmtId="41" fontId="0" fillId="0" borderId="28" xfId="0" applyNumberFormat="1" applyFont="1" applyFill="1" applyBorder="1" applyAlignment="1" applyProtection="1">
      <alignment vertical="center"/>
      <protection locked="0"/>
    </xf>
    <xf numFmtId="41" fontId="0" fillId="0" borderId="31" xfId="0" applyNumberFormat="1" applyFont="1" applyFill="1" applyBorder="1" applyAlignment="1" applyProtection="1">
      <alignment vertical="center"/>
      <protection locked="0"/>
    </xf>
    <xf numFmtId="0" fontId="0" fillId="0" borderId="30" xfId="0" applyNumberFormat="1" applyFont="1" applyFill="1" applyBorder="1" applyAlignment="1" applyProtection="1">
      <alignment horizontal="left" vertical="center" indent="2"/>
    </xf>
    <xf numFmtId="0" fontId="0" fillId="0" borderId="33" xfId="0" applyNumberFormat="1" applyFont="1" applyFill="1" applyBorder="1" applyAlignment="1" applyProtection="1">
      <alignment horizontal="left" vertical="center" indent="2"/>
    </xf>
    <xf numFmtId="9" fontId="0" fillId="0" borderId="36" xfId="56" applyNumberFormat="1" applyFont="1" applyFill="1" applyBorder="1" applyAlignment="1" applyProtection="1">
      <alignment vertical="center"/>
    </xf>
    <xf numFmtId="0" fontId="0" fillId="0" borderId="37" xfId="0" applyNumberFormat="1" applyFont="1" applyFill="1" applyBorder="1" applyAlignment="1" applyProtection="1">
      <alignment horizontal="left" vertical="center" indent="2"/>
    </xf>
    <xf numFmtId="9" fontId="0" fillId="0" borderId="38" xfId="56" applyNumberFormat="1" applyFont="1" applyFill="1" applyBorder="1" applyAlignment="1" applyProtection="1">
      <alignment vertical="center"/>
    </xf>
    <xf numFmtId="41" fontId="0" fillId="0" borderId="36" xfId="0" applyNumberFormat="1" applyFont="1" applyFill="1" applyBorder="1" applyAlignment="1" applyProtection="1">
      <alignment vertical="center"/>
      <protection locked="0"/>
    </xf>
    <xf numFmtId="41" fontId="0" fillId="0" borderId="39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horizontal="left" vertical="center" indent="2"/>
    </xf>
    <xf numFmtId="41" fontId="0" fillId="0" borderId="41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3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41" fontId="9" fillId="24" borderId="26" xfId="0" applyNumberFormat="1" applyFont="1" applyFill="1" applyBorder="1" applyAlignment="1" applyProtection="1">
      <alignment vertical="center"/>
    </xf>
    <xf numFmtId="0" fontId="9" fillId="24" borderId="20" xfId="0" applyNumberFormat="1" applyFont="1" applyFill="1" applyBorder="1" applyAlignment="1" applyProtection="1">
      <alignment horizontal="center" vertical="center" wrapText="1"/>
    </xf>
    <xf numFmtId="0" fontId="9" fillId="24" borderId="25" xfId="0" applyNumberFormat="1" applyFont="1" applyFill="1" applyBorder="1" applyAlignment="1" applyProtection="1">
      <alignment horizontal="center" vertical="center" wrapText="1"/>
    </xf>
    <xf numFmtId="41" fontId="0" fillId="0" borderId="42" xfId="0" applyNumberFormat="1" applyFont="1" applyBorder="1" applyAlignment="1" applyProtection="1">
      <alignment vertical="center"/>
    </xf>
    <xf numFmtId="41" fontId="0" fillId="0" borderId="19" xfId="0" applyNumberFormat="1" applyFont="1" applyBorder="1" applyAlignment="1" applyProtection="1">
      <alignment vertical="center"/>
    </xf>
    <xf numFmtId="41" fontId="0" fillId="0" borderId="43" xfId="0" applyNumberFormat="1" applyFont="1" applyBorder="1" applyAlignment="1" applyProtection="1">
      <alignment vertical="center"/>
    </xf>
    <xf numFmtId="41" fontId="0" fillId="0" borderId="44" xfId="0" applyNumberFormat="1" applyFont="1" applyBorder="1" applyAlignment="1" applyProtection="1">
      <alignment vertical="center"/>
    </xf>
    <xf numFmtId="41" fontId="0" fillId="0" borderId="45" xfId="0" applyNumberFormat="1" applyFont="1" applyBorder="1" applyAlignment="1" applyProtection="1">
      <alignment vertical="center"/>
    </xf>
    <xf numFmtId="41" fontId="0" fillId="0" borderId="46" xfId="0" applyNumberFormat="1" applyFont="1" applyBorder="1" applyAlignment="1" applyProtection="1">
      <alignment vertical="center"/>
    </xf>
    <xf numFmtId="41" fontId="0" fillId="0" borderId="18" xfId="0" applyNumberFormat="1" applyFont="1" applyBorder="1" applyAlignment="1" applyProtection="1">
      <alignment vertical="center"/>
    </xf>
    <xf numFmtId="41" fontId="0" fillId="0" borderId="47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41" fontId="0" fillId="0" borderId="42" xfId="0" applyNumberFormat="1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43" xfId="0" applyNumberFormat="1" applyFont="1" applyBorder="1" applyAlignment="1">
      <alignment vertical="center"/>
    </xf>
    <xf numFmtId="41" fontId="0" fillId="0" borderId="44" xfId="0" applyNumberFormat="1" applyFont="1" applyBorder="1" applyAlignment="1">
      <alignment vertical="center"/>
    </xf>
    <xf numFmtId="41" fontId="0" fillId="0" borderId="45" xfId="0" applyNumberFormat="1" applyFont="1" applyBorder="1" applyAlignment="1">
      <alignment vertical="center"/>
    </xf>
    <xf numFmtId="41" fontId="0" fillId="0" borderId="4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47" xfId="0" applyNumberFormat="1" applyFont="1" applyBorder="1" applyAlignment="1">
      <alignment vertical="center"/>
    </xf>
    <xf numFmtId="42" fontId="0" fillId="0" borderId="0" xfId="0" applyNumberFormat="1" applyFont="1" applyBorder="1" applyAlignment="1">
      <alignment vertical="center"/>
    </xf>
    <xf numFmtId="9" fontId="0" fillId="0" borderId="0" xfId="56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164" fontId="0" fillId="0" borderId="20" xfId="36" applyNumberFormat="1" applyFont="1" applyBorder="1" applyAlignment="1">
      <alignment vertical="center"/>
    </xf>
    <xf numFmtId="10" fontId="0" fillId="0" borderId="25" xfId="56" applyNumberFormat="1" applyFont="1" applyBorder="1" applyAlignment="1">
      <alignment horizontal="right" vertical="center"/>
    </xf>
    <xf numFmtId="41" fontId="9" fillId="24" borderId="0" xfId="0" applyNumberFormat="1" applyFont="1" applyFill="1" applyBorder="1" applyAlignment="1">
      <alignment vertical="center"/>
    </xf>
    <xf numFmtId="0" fontId="9" fillId="24" borderId="0" xfId="0" applyNumberFormat="1" applyFont="1" applyFill="1" applyBorder="1" applyAlignment="1">
      <alignment horizontal="center" vertical="center" wrapText="1"/>
    </xf>
    <xf numFmtId="41" fontId="0" fillId="0" borderId="26" xfId="0" applyNumberFormat="1" applyFont="1" applyBorder="1" applyAlignment="1">
      <alignment horizontal="left" vertical="center" indent="1"/>
    </xf>
    <xf numFmtId="0" fontId="0" fillId="0" borderId="19" xfId="0" applyNumberFormat="1" applyFont="1" applyBorder="1" applyAlignment="1">
      <alignment vertical="center"/>
    </xf>
    <xf numFmtId="41" fontId="0" fillId="0" borderId="48" xfId="0" applyNumberFormat="1" applyFont="1" applyFill="1" applyBorder="1" applyAlignment="1" applyProtection="1">
      <alignment vertical="center"/>
    </xf>
    <xf numFmtId="42" fontId="0" fillId="0" borderId="40" xfId="0" applyNumberFormat="1" applyFont="1" applyFill="1" applyBorder="1" applyAlignment="1" applyProtection="1">
      <alignment vertical="center"/>
    </xf>
    <xf numFmtId="10" fontId="0" fillId="0" borderId="49" xfId="56" applyNumberFormat="1" applyFont="1" applyFill="1" applyBorder="1" applyAlignment="1" applyProtection="1">
      <alignment horizontal="right" vertical="center"/>
    </xf>
    <xf numFmtId="10" fontId="0" fillId="0" borderId="50" xfId="0" applyNumberFormat="1" applyFont="1" applyFill="1" applyBorder="1" applyAlignment="1" applyProtection="1">
      <alignment horizontal="right" vertical="center"/>
    </xf>
    <xf numFmtId="10" fontId="0" fillId="0" borderId="50" xfId="56" applyNumberFormat="1" applyFont="1" applyFill="1" applyBorder="1" applyAlignment="1" applyProtection="1">
      <alignment horizontal="right" vertical="center"/>
    </xf>
    <xf numFmtId="10" fontId="0" fillId="0" borderId="51" xfId="56" applyNumberFormat="1" applyFont="1" applyFill="1" applyBorder="1" applyAlignment="1" applyProtection="1">
      <alignment horizontal="right" vertical="center"/>
    </xf>
    <xf numFmtId="41" fontId="0" fillId="0" borderId="52" xfId="0" applyNumberFormat="1" applyFont="1" applyFill="1" applyBorder="1" applyAlignment="1" applyProtection="1">
      <alignment horizontal="left" vertical="center" indent="1"/>
    </xf>
    <xf numFmtId="10" fontId="0" fillId="0" borderId="53" xfId="56" applyNumberFormat="1" applyFont="1" applyFill="1" applyBorder="1" applyAlignment="1" applyProtection="1">
      <alignment horizontal="right" vertical="center"/>
    </xf>
    <xf numFmtId="41" fontId="0" fillId="0" borderId="48" xfId="0" applyNumberFormat="1" applyFont="1" applyBorder="1" applyAlignment="1">
      <alignment vertical="center"/>
    </xf>
    <xf numFmtId="164" fontId="0" fillId="0" borderId="40" xfId="36" applyNumberFormat="1" applyFont="1" applyBorder="1" applyAlignment="1">
      <alignment vertical="center"/>
    </xf>
    <xf numFmtId="10" fontId="0" fillId="0" borderId="49" xfId="56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vertical="center"/>
    </xf>
    <xf numFmtId="10" fontId="0" fillId="0" borderId="50" xfId="56" applyNumberFormat="1" applyFont="1" applyBorder="1" applyAlignment="1">
      <alignment horizontal="right" vertical="center"/>
    </xf>
    <xf numFmtId="41" fontId="0" fillId="0" borderId="39" xfId="0" applyNumberFormat="1" applyFont="1" applyBorder="1" applyAlignment="1">
      <alignment vertical="center"/>
    </xf>
    <xf numFmtId="10" fontId="0" fillId="0" borderId="51" xfId="56" applyNumberFormat="1" applyFont="1" applyBorder="1" applyAlignment="1">
      <alignment horizontal="right" vertical="center"/>
    </xf>
    <xf numFmtId="41" fontId="0" fillId="0" borderId="52" xfId="0" applyNumberFormat="1" applyFont="1" applyBorder="1" applyAlignment="1">
      <alignment horizontal="left" vertical="center" indent="2"/>
    </xf>
    <xf numFmtId="10" fontId="0" fillId="0" borderId="53" xfId="56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9" fontId="0" fillId="0" borderId="0" xfId="0" applyNumberFormat="1" applyFont="1" applyBorder="1" applyAlignment="1">
      <alignment vertical="center"/>
    </xf>
    <xf numFmtId="0" fontId="28" fillId="0" borderId="22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/>
    </xf>
    <xf numFmtId="41" fontId="0" fillId="0" borderId="22" xfId="0" applyNumberFormat="1" applyFont="1" applyBorder="1" applyAlignment="1">
      <alignment vertical="center"/>
    </xf>
    <xf numFmtId="0" fontId="23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 applyProtection="1">
      <alignment vertical="center" wrapText="1"/>
      <protection locked="0"/>
    </xf>
    <xf numFmtId="41" fontId="0" fillId="0" borderId="22" xfId="0" applyNumberFormat="1" applyFont="1" applyBorder="1" applyAlignment="1" applyProtection="1">
      <alignment vertical="center"/>
      <protection locked="0"/>
    </xf>
    <xf numFmtId="41" fontId="0" fillId="0" borderId="22" xfId="53" applyNumberFormat="1" applyFont="1" applyBorder="1" applyAlignment="1" applyProtection="1">
      <alignment vertical="center"/>
      <protection locked="0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45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vertical="center"/>
      <protection locked="0"/>
    </xf>
    <xf numFmtId="165" fontId="0" fillId="0" borderId="0" xfId="0" applyNumberFormat="1" applyFont="1" applyBorder="1" applyAlignment="1">
      <alignment vertical="center"/>
    </xf>
    <xf numFmtId="41" fontId="0" fillId="0" borderId="22" xfId="0" applyNumberFormat="1" applyFont="1" applyBorder="1" applyAlignment="1" applyProtection="1">
      <alignment vertical="center"/>
    </xf>
    <xf numFmtId="41" fontId="0" fillId="0" borderId="22" xfId="0" applyNumberForma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41" fontId="0" fillId="0" borderId="42" xfId="0" applyNumberFormat="1" applyFont="1" applyBorder="1" applyAlignment="1" applyProtection="1">
      <alignment horizontal="left" vertical="top"/>
      <protection locked="0"/>
    </xf>
    <xf numFmtId="41" fontId="0" fillId="0" borderId="19" xfId="0" applyNumberFormat="1" applyFont="1" applyBorder="1" applyAlignment="1" applyProtection="1">
      <alignment horizontal="left" vertical="top"/>
      <protection locked="0"/>
    </xf>
    <xf numFmtId="41" fontId="0" fillId="0" borderId="43" xfId="0" applyNumberFormat="1" applyFont="1" applyBorder="1" applyAlignment="1" applyProtection="1">
      <alignment horizontal="left" vertical="top"/>
      <protection locked="0"/>
    </xf>
    <xf numFmtId="41" fontId="0" fillId="0" borderId="44" xfId="0" applyNumberFormat="1" applyFont="1" applyBorder="1" applyAlignment="1" applyProtection="1">
      <alignment horizontal="left" vertical="top"/>
      <protection locked="0"/>
    </xf>
    <xf numFmtId="41" fontId="0" fillId="0" borderId="0" xfId="0" applyNumberFormat="1" applyFont="1" applyBorder="1" applyAlignment="1" applyProtection="1">
      <alignment horizontal="left" vertical="top"/>
      <protection locked="0"/>
    </xf>
    <xf numFmtId="41" fontId="0" fillId="0" borderId="45" xfId="0" applyNumberFormat="1" applyFont="1" applyBorder="1" applyAlignment="1" applyProtection="1">
      <alignment horizontal="left" vertical="top"/>
      <protection locked="0"/>
    </xf>
    <xf numFmtId="41" fontId="0" fillId="0" borderId="46" xfId="0" applyNumberFormat="1" applyFont="1" applyBorder="1" applyAlignment="1" applyProtection="1">
      <alignment horizontal="left" vertical="top"/>
      <protection locked="0"/>
    </xf>
    <xf numFmtId="41" fontId="0" fillId="0" borderId="18" xfId="0" applyNumberFormat="1" applyFont="1" applyBorder="1" applyAlignment="1" applyProtection="1">
      <alignment horizontal="left" vertical="top"/>
      <protection locked="0"/>
    </xf>
    <xf numFmtId="41" fontId="0" fillId="0" borderId="47" xfId="0" applyNumberFormat="1" applyFont="1" applyBorder="1" applyAlignment="1" applyProtection="1">
      <alignment horizontal="left" vertical="top"/>
      <protection locked="0"/>
    </xf>
    <xf numFmtId="41" fontId="30" fillId="0" borderId="0" xfId="0" applyNumberFormat="1" applyFont="1" applyBorder="1" applyAlignment="1" applyProtection="1">
      <alignment horizontal="center" vertical="center"/>
    </xf>
    <xf numFmtId="41" fontId="30" fillId="0" borderId="0" xfId="0" applyNumberFormat="1" applyFont="1" applyBorder="1" applyAlignment="1">
      <alignment horizontal="center" vertical="center"/>
    </xf>
    <xf numFmtId="41" fontId="0" fillId="0" borderId="42" xfId="0" applyNumberFormat="1" applyFont="1" applyBorder="1" applyAlignment="1" applyProtection="1">
      <alignment vertical="top"/>
      <protection locked="0"/>
    </xf>
    <xf numFmtId="41" fontId="0" fillId="0" borderId="19" xfId="0" applyNumberFormat="1" applyFont="1" applyBorder="1" applyAlignment="1" applyProtection="1">
      <alignment vertical="top"/>
      <protection locked="0"/>
    </xf>
    <xf numFmtId="41" fontId="0" fillId="0" borderId="43" xfId="0" applyNumberFormat="1" applyFont="1" applyBorder="1" applyAlignment="1" applyProtection="1">
      <alignment vertical="top"/>
      <protection locked="0"/>
    </xf>
    <xf numFmtId="41" fontId="0" fillId="0" borderId="44" xfId="0" applyNumberFormat="1" applyFont="1" applyBorder="1" applyAlignment="1" applyProtection="1">
      <alignment vertical="top"/>
      <protection locked="0"/>
    </xf>
    <xf numFmtId="41" fontId="0" fillId="0" borderId="0" xfId="0" applyNumberFormat="1" applyFont="1" applyBorder="1" applyAlignment="1" applyProtection="1">
      <alignment vertical="top"/>
      <protection locked="0"/>
    </xf>
    <xf numFmtId="41" fontId="0" fillId="0" borderId="45" xfId="0" applyNumberFormat="1" applyFont="1" applyBorder="1" applyAlignment="1" applyProtection="1">
      <alignment vertical="top"/>
      <protection locked="0"/>
    </xf>
    <xf numFmtId="41" fontId="0" fillId="0" borderId="46" xfId="0" applyNumberFormat="1" applyFont="1" applyBorder="1" applyAlignment="1" applyProtection="1">
      <alignment vertical="top"/>
      <protection locked="0"/>
    </xf>
    <xf numFmtId="41" fontId="0" fillId="0" borderId="18" xfId="0" applyNumberFormat="1" applyFont="1" applyBorder="1" applyAlignment="1" applyProtection="1">
      <alignment vertical="top"/>
      <protection locked="0"/>
    </xf>
    <xf numFmtId="41" fontId="0" fillId="0" borderId="47" xfId="0" applyNumberFormat="1" applyFont="1" applyBorder="1" applyAlignment="1" applyProtection="1">
      <alignment vertical="top"/>
      <protection locked="0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/>
    <cellStyle name="Comma [0] 2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urrency" xfId="36" builtinId="4"/>
    <cellStyle name="Currency [0] 2" xfId="37"/>
    <cellStyle name="Currency 2" xfId="38"/>
    <cellStyle name="Currency 3" xfId="39"/>
    <cellStyle name="Currency 4" xfId="40"/>
    <cellStyle name="Currency 5" xfId="41"/>
    <cellStyle name="Currency 6" xfId="42"/>
    <cellStyle name="Currency 7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te" xfId="54" builtinId="10" customBuiltin="1"/>
    <cellStyle name="Output" xfId="55" builtinId="21" customBuiltin="1"/>
    <cellStyle name="Percent" xfId="56" builtinId="5"/>
    <cellStyle name="Percent 2" xfId="57"/>
    <cellStyle name="Text Column (No indent)" xfId="58"/>
    <cellStyle name="Title" xfId="59" builtinId="15" customBuiltin="1"/>
    <cellStyle name="Total" xfId="60" builtinId="25" customBuiltin="1"/>
    <cellStyle name="Warning Text" xfId="61" builtinId="11" customBuiltin="1"/>
  </cellStyles>
  <dxfs count="7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autoTitleDeleted val="1"/>
    <c:plotArea>
      <c:layout>
        <c:manualLayout>
          <c:layoutTarget val="inner"/>
          <c:xMode val="edge"/>
          <c:yMode val="edge"/>
          <c:x val="8.9184060721062691E-2"/>
          <c:y val="0.18493181609156967"/>
          <c:w val="0.88425047438330173"/>
          <c:h val="0.7191792848005486"/>
        </c:manualLayout>
      </c:layout>
      <c:barChart>
        <c:barDir val="col"/>
        <c:grouping val="clustered"/>
        <c:ser>
          <c:idx val="0"/>
          <c:order val="0"/>
          <c:tx>
            <c:strRef>
              <c:f>Revenues!$H$31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Revenues!$I$21:$M$21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Revenues!$I$31:$M$31</c:f>
              <c:numCache>
                <c:formatCode>_(* #,##0_);_(* \(#,##0\);_(* "-"_);_(@_)</c:formatCode>
                <c:ptCount val="5"/>
                <c:pt idx="0">
                  <c:v>153084</c:v>
                </c:pt>
                <c:pt idx="1">
                  <c:v>176746</c:v>
                </c:pt>
                <c:pt idx="2">
                  <c:v>173627</c:v>
                </c:pt>
                <c:pt idx="3">
                  <c:v>187087</c:v>
                </c:pt>
                <c:pt idx="4">
                  <c:v>177084</c:v>
                </c:pt>
              </c:numCache>
            </c:numRef>
          </c:val>
        </c:ser>
        <c:axId val="88755200"/>
        <c:axId val="88765184"/>
      </c:barChart>
      <c:catAx>
        <c:axId val="8875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65184"/>
        <c:crosses val="autoZero"/>
        <c:lblAlgn val="ctr"/>
        <c:lblOffset val="100"/>
        <c:tickLblSkip val="1"/>
        <c:tickMarkSkip val="1"/>
      </c:catAx>
      <c:valAx>
        <c:axId val="88765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552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4238410596026491"/>
          <c:y val="5.8282208588957045E-2"/>
          <c:w val="0.81456953642384133"/>
          <c:h val="0.73312883435582865"/>
        </c:manualLayout>
      </c:layout>
      <c:lineChart>
        <c:grouping val="standard"/>
        <c:ser>
          <c:idx val="0"/>
          <c:order val="0"/>
          <c:tx>
            <c:strRef>
              <c:f>Obligations!$B$5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Obligations!$C$5:$G$5</c:f>
              <c:numCache>
                <c:formatCode>_(* #,##0_);_(* \(#,##0\);_(* "-"_);_(@_)</c:formatCode>
                <c:ptCount val="5"/>
                <c:pt idx="0">
                  <c:v>701518</c:v>
                </c:pt>
                <c:pt idx="1">
                  <c:v>709642</c:v>
                </c:pt>
                <c:pt idx="2">
                  <c:v>703559</c:v>
                </c:pt>
                <c:pt idx="3">
                  <c:v>698585</c:v>
                </c:pt>
                <c:pt idx="4">
                  <c:v>704531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Obligations!$B$6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Obligations!$C$6:$G$6</c:f>
              <c:numCache>
                <c:formatCode>_(* #,##0_);_(* \(#,##0\);_(* "-"_);_(@_)</c:formatCode>
                <c:ptCount val="5"/>
                <c:pt idx="0">
                  <c:v>1003854</c:v>
                </c:pt>
                <c:pt idx="1">
                  <c:v>1060648</c:v>
                </c:pt>
                <c:pt idx="2">
                  <c:v>1086732</c:v>
                </c:pt>
                <c:pt idx="3">
                  <c:v>1143227</c:v>
                </c:pt>
                <c:pt idx="4">
                  <c:v>1172930</c:v>
                </c:pt>
              </c:numCache>
            </c:numRef>
          </c:val>
          <c:smooth val="1"/>
        </c:ser>
        <c:marker val="1"/>
        <c:axId val="91910528"/>
        <c:axId val="91912064"/>
      </c:lineChart>
      <c:catAx>
        <c:axId val="9191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12064"/>
        <c:crosses val="autoZero"/>
        <c:lblAlgn val="ctr"/>
        <c:lblOffset val="100"/>
        <c:tickLblSkip val="1"/>
        <c:tickMarkSkip val="1"/>
      </c:catAx>
      <c:valAx>
        <c:axId val="919120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1052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9337748344370896E-2"/>
          <c:y val="0.89570552147239269"/>
          <c:w val="0.79801324503311255"/>
          <c:h val="7.36196319018405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375841180528361"/>
          <c:y val="5.8282208588957045E-2"/>
          <c:w val="0.81543757772778436"/>
          <c:h val="0.73312883435582865"/>
        </c:manualLayout>
      </c:layout>
      <c:lineChart>
        <c:grouping val="standard"/>
        <c:ser>
          <c:idx val="0"/>
          <c:order val="0"/>
          <c:tx>
            <c:strRef>
              <c:f>Obligations!$K$5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Obligations!$L$5:$P$5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Obligations!$K$6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Obligations!$L$6:$P$6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</c:ser>
        <c:marker val="1"/>
        <c:axId val="91936640"/>
        <c:axId val="91938176"/>
      </c:lineChart>
      <c:catAx>
        <c:axId val="9193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38176"/>
        <c:crosses val="autoZero"/>
        <c:lblAlgn val="ctr"/>
        <c:lblOffset val="100"/>
        <c:tickLblSkip val="1"/>
        <c:tickMarkSkip val="1"/>
      </c:catAx>
      <c:valAx>
        <c:axId val="91938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36640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959885499497853E-2"/>
          <c:y val="0.90490797546012269"/>
          <c:w val="0.80872615733496311"/>
          <c:h val="7.36196319018405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4861479235722075"/>
          <c:y val="5.2795111114480917E-2"/>
          <c:w val="0.81108412100042437"/>
          <c:h val="0.73292036605985278"/>
        </c:manualLayout>
      </c:layout>
      <c:barChart>
        <c:barDir val="col"/>
        <c:grouping val="clustered"/>
        <c:ser>
          <c:idx val="0"/>
          <c:order val="0"/>
          <c:tx>
            <c:strRef>
              <c:f>Obligations!$U$4</c:f>
              <c:strCache>
                <c:ptCount val="1"/>
                <c:pt idx="0">
                  <c:v>12/31/2013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Obligations!$U$5:$U$7</c:f>
              <c:numCache>
                <c:formatCode>0%</c:formatCode>
                <c:ptCount val="3"/>
                <c:pt idx="0">
                  <c:v>0.61106411937436744</c:v>
                </c:pt>
                <c:pt idx="1">
                  <c:v>0</c:v>
                </c:pt>
                <c:pt idx="2">
                  <c:v>0.61106411937436744</c:v>
                </c:pt>
              </c:numCache>
            </c:numRef>
          </c:val>
        </c:ser>
        <c:ser>
          <c:idx val="1"/>
          <c:order val="1"/>
          <c:tx>
            <c:strRef>
              <c:f>Obligations!$V$4</c:f>
              <c:strCache>
                <c:ptCount val="1"/>
                <c:pt idx="0">
                  <c:v>12/31/2014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Obligations!$V$5:$V$7</c:f>
              <c:numCache>
                <c:formatCode>0%</c:formatCode>
                <c:ptCount val="3"/>
                <c:pt idx="0">
                  <c:v>0.60065903336089965</c:v>
                </c:pt>
                <c:pt idx="1">
                  <c:v>0</c:v>
                </c:pt>
                <c:pt idx="2">
                  <c:v>0.60065903336089965</c:v>
                </c:pt>
              </c:numCache>
            </c:numRef>
          </c:val>
        </c:ser>
        <c:axId val="90516864"/>
        <c:axId val="90518656"/>
      </c:barChart>
      <c:catAx>
        <c:axId val="90516864"/>
        <c:scaling>
          <c:orientation val="minMax"/>
        </c:scaling>
        <c:axPos val="b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18656"/>
        <c:crosses val="autoZero"/>
        <c:lblAlgn val="ctr"/>
        <c:lblOffset val="100"/>
        <c:tickLblSkip val="1"/>
        <c:tickMarkSkip val="1"/>
      </c:catAx>
      <c:valAx>
        <c:axId val="90518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1686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692726814299166"/>
          <c:y val="0.91615045757481584"/>
          <c:w val="0.47355221971453348"/>
          <c:h val="7.453427451456130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6.6420664206642083E-2"/>
          <c:y val="5.2959662674207403E-2"/>
          <c:w val="0.57195571955719582"/>
          <c:h val="0.85670042561217896"/>
        </c:manualLayout>
      </c:layout>
      <c:barChart>
        <c:barDir val="col"/>
        <c:grouping val="stacked"/>
        <c:ser>
          <c:idx val="0"/>
          <c:order val="0"/>
          <c:tx>
            <c:strRef>
              <c:f>Obligations!$B$21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Obligations!$C$21:$G$21</c:f>
              <c:numCache>
                <c:formatCode>_(* #,##0_);_(* \(#,##0\);_(* "-"_);_(@_)</c:formatCode>
                <c:ptCount val="5"/>
                <c:pt idx="0">
                  <c:v>930000</c:v>
                </c:pt>
                <c:pt idx="1">
                  <c:v>895000</c:v>
                </c:pt>
                <c:pt idx="2">
                  <c:v>860000</c:v>
                </c:pt>
                <c:pt idx="3">
                  <c:v>825000</c:v>
                </c:pt>
                <c:pt idx="4">
                  <c:v>858020</c:v>
                </c:pt>
              </c:numCache>
            </c:numRef>
          </c:val>
        </c:ser>
        <c:ser>
          <c:idx val="1"/>
          <c:order val="1"/>
          <c:tx>
            <c:strRef>
              <c:f>Obligations!$B$22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Obligations!$C$22:$G$22</c:f>
              <c:numCache>
                <c:formatCode>_(* #,##0_);_(* \(#,##0\);_(* "-"_);_(@_)</c:formatCode>
                <c:ptCount val="5"/>
                <c:pt idx="0">
                  <c:v>28872</c:v>
                </c:pt>
                <c:pt idx="1">
                  <c:v>32718</c:v>
                </c:pt>
                <c:pt idx="2">
                  <c:v>16389</c:v>
                </c:pt>
                <c:pt idx="3">
                  <c:v>0</c:v>
                </c:pt>
                <c:pt idx="4">
                  <c:v>10202</c:v>
                </c:pt>
              </c:numCache>
            </c:numRef>
          </c:val>
        </c:ser>
        <c:ser>
          <c:idx val="2"/>
          <c:order val="2"/>
          <c:tx>
            <c:strRef>
              <c:f>Obligations!$B$23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Obligations!$C$23:$G$23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Obligations!$B$24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Obligations!$C$24:$G$24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Obligations!$B$25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Obligations!$C$25:$G$25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4383488"/>
        <c:axId val="94393472"/>
      </c:barChart>
      <c:catAx>
        <c:axId val="94383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393472"/>
        <c:crosses val="autoZero"/>
        <c:lblAlgn val="ctr"/>
        <c:lblOffset val="100"/>
        <c:tickLblSkip val="1"/>
        <c:tickMarkSkip val="1"/>
      </c:catAx>
      <c:valAx>
        <c:axId val="943934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38348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5239852398543"/>
          <c:y val="0.13084151954804185"/>
          <c:w val="0.23800738007380079"/>
          <c:h val="0.78504911728825133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9.351145038167949E-2"/>
          <c:y val="5.2631578947368432E-2"/>
          <c:w val="0.54770992366412263"/>
          <c:h val="0.85448916408668729"/>
        </c:manualLayout>
      </c:layout>
      <c:barChart>
        <c:barDir val="col"/>
        <c:grouping val="stacked"/>
        <c:ser>
          <c:idx val="0"/>
          <c:order val="0"/>
          <c:tx>
            <c:strRef>
              <c:f>Obligations!$Q$21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Obligations!$R$21:$S$21</c:f>
              <c:numCache>
                <c:formatCode>_(* #,##0.00_);_(* \(#,##0.00\);_(* "-"_);_(@_)</c:formatCode>
                <c:ptCount val="2"/>
                <c:pt idx="0">
                  <c:v>829.97987927565396</c:v>
                </c:pt>
                <c:pt idx="1">
                  <c:v>866.68686868686871</c:v>
                </c:pt>
              </c:numCache>
            </c:numRef>
          </c:val>
        </c:ser>
        <c:ser>
          <c:idx val="1"/>
          <c:order val="1"/>
          <c:tx>
            <c:strRef>
              <c:f>Obligations!$Q$22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Obligations!$R$22:$S$22</c:f>
              <c:numCache>
                <c:formatCode>_(* #,##0.00_);_(* \(#,##0.00\);_(* "-"_);_(@_)</c:formatCode>
                <c:ptCount val="2"/>
                <c:pt idx="0">
                  <c:v>0</c:v>
                </c:pt>
                <c:pt idx="1">
                  <c:v>10.305050505050506</c:v>
                </c:pt>
              </c:numCache>
            </c:numRef>
          </c:val>
        </c:ser>
        <c:ser>
          <c:idx val="2"/>
          <c:order val="2"/>
          <c:tx>
            <c:strRef>
              <c:f>Obligations!$Q$23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Obligations!$R$23:$S$23</c:f>
              <c:numCache>
                <c:formatCode>_(* #,##0.00_);_(* \(#,##0.00\);_(*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Obligations!$Q$24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Obligations!$R$24:$S$24</c:f>
              <c:numCache>
                <c:formatCode>_(* #,##0.00_);_(* \(#,##0.00\);_(*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Obligations!$Q$25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Obligations!$R$25:$S$25</c:f>
              <c:numCache>
                <c:formatCode>_(* #,##0.00_);_(* \(#,##0.00\);_(*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94428544"/>
        <c:axId val="91952256"/>
      </c:barChart>
      <c:catAx>
        <c:axId val="9442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52256"/>
        <c:crosses val="autoZero"/>
        <c:lblAlgn val="ctr"/>
        <c:lblOffset val="100"/>
        <c:tickLblSkip val="1"/>
        <c:tickMarkSkip val="1"/>
      </c:catAx>
      <c:valAx>
        <c:axId val="91952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42854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236641221374078"/>
          <c:y val="0.12074303405572756"/>
          <c:w val="0.24236641221374045"/>
          <c:h val="0.7801857585139319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layout>
        <c:manualLayout>
          <c:xMode val="edge"/>
          <c:yMode val="edge"/>
          <c:x val="0.46246973365617433"/>
          <c:y val="3.61842686450655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319612590799043E-2"/>
          <c:y val="0.10855280593519662"/>
          <c:w val="0.55447941888619889"/>
          <c:h val="0.75329068361091012"/>
        </c:manualLayout>
      </c:layout>
      <c:pieChart>
        <c:varyColors val="1"/>
        <c:ser>
          <c:idx val="0"/>
          <c:order val="0"/>
          <c:tx>
            <c:strRef>
              <c:f>Revenues!$K$5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3D69B"/>
              </a:solidFill>
              <a:ln w="25400">
                <a:noFill/>
              </a:ln>
            </c:spPr>
          </c:dPt>
          <c:cat>
            <c:strRef>
              <c:f>Revenues!$I$6:$I$14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Revenues!$K$6:$K$14</c:f>
              <c:numCache>
                <c:formatCode>_("$"* #,##0_);_("$"* \(#,##0\);_("$"* "-"_);_(@_)</c:formatCode>
                <c:ptCount val="9"/>
                <c:pt idx="0">
                  <c:v>177084</c:v>
                </c:pt>
                <c:pt idx="1">
                  <c:v>17149</c:v>
                </c:pt>
                <c:pt idx="2">
                  <c:v>21999</c:v>
                </c:pt>
                <c:pt idx="3">
                  <c:v>304793</c:v>
                </c:pt>
                <c:pt idx="4">
                  <c:v>13442</c:v>
                </c:pt>
                <c:pt idx="5">
                  <c:v>33477</c:v>
                </c:pt>
                <c:pt idx="6">
                  <c:v>869</c:v>
                </c:pt>
                <c:pt idx="7">
                  <c:v>99035</c:v>
                </c:pt>
                <c:pt idx="8">
                  <c:v>247328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01210653753025"/>
          <c:y val="0.11513176387066311"/>
          <c:w val="0.31961259079903165"/>
          <c:h val="0.81908026296557479"/>
        </c:manualLayout>
      </c:layout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36077481840193704"/>
          <c:y val="8.8435667901214085E-2"/>
          <c:w val="0.54963680387409219"/>
          <c:h val="0.64285927820497957"/>
        </c:manualLayout>
      </c:layout>
      <c:barChart>
        <c:barDir val="bar"/>
        <c:grouping val="clustered"/>
        <c:ser>
          <c:idx val="0"/>
          <c:order val="0"/>
          <c:tx>
            <c:strRef>
              <c:f>Revenues!$J$5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Revenues!$I$6:$I$14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Revenues!$J$6:$J$14</c:f>
              <c:numCache>
                <c:formatCode>_("$"* #,##0_);_("$"* \(#,##0\);_("$"* "-"_);_(@_)</c:formatCode>
                <c:ptCount val="9"/>
                <c:pt idx="0">
                  <c:v>187087</c:v>
                </c:pt>
                <c:pt idx="1">
                  <c:v>16982</c:v>
                </c:pt>
                <c:pt idx="2">
                  <c:v>150242</c:v>
                </c:pt>
                <c:pt idx="3">
                  <c:v>276490</c:v>
                </c:pt>
                <c:pt idx="4">
                  <c:v>0</c:v>
                </c:pt>
                <c:pt idx="5">
                  <c:v>36013</c:v>
                </c:pt>
                <c:pt idx="6">
                  <c:v>1263</c:v>
                </c:pt>
                <c:pt idx="7">
                  <c:v>171275</c:v>
                </c:pt>
                <c:pt idx="8">
                  <c:v>222076</c:v>
                </c:pt>
              </c:numCache>
            </c:numRef>
          </c:val>
        </c:ser>
        <c:ser>
          <c:idx val="1"/>
          <c:order val="1"/>
          <c:tx>
            <c:strRef>
              <c:f>Revenues!$K$5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Revenues!$I$6:$I$14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Revenues!$K$6:$K$14</c:f>
              <c:numCache>
                <c:formatCode>_("$"* #,##0_);_("$"* \(#,##0\);_("$"* "-"_);_(@_)</c:formatCode>
                <c:ptCount val="9"/>
                <c:pt idx="0">
                  <c:v>177084</c:v>
                </c:pt>
                <c:pt idx="1">
                  <c:v>17149</c:v>
                </c:pt>
                <c:pt idx="2">
                  <c:v>21999</c:v>
                </c:pt>
                <c:pt idx="3">
                  <c:v>304793</c:v>
                </c:pt>
                <c:pt idx="4">
                  <c:v>13442</c:v>
                </c:pt>
                <c:pt idx="5">
                  <c:v>33477</c:v>
                </c:pt>
                <c:pt idx="6">
                  <c:v>869</c:v>
                </c:pt>
                <c:pt idx="7">
                  <c:v>99035</c:v>
                </c:pt>
                <c:pt idx="8">
                  <c:v>247328</c:v>
                </c:pt>
              </c:numCache>
            </c:numRef>
          </c:val>
        </c:ser>
        <c:axId val="82610048"/>
        <c:axId val="82611584"/>
      </c:barChart>
      <c:catAx>
        <c:axId val="82610048"/>
        <c:scaling>
          <c:orientation val="minMax"/>
        </c:scaling>
        <c:axPos val="l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11584"/>
        <c:crosses val="autoZero"/>
        <c:lblAlgn val="ctr"/>
        <c:lblOffset val="100"/>
        <c:tickLblSkip val="1"/>
        <c:tickMarkSkip val="1"/>
      </c:catAx>
      <c:valAx>
        <c:axId val="8261158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1004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3607748184019373"/>
                <c:y val="0.82313198584976144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4382566585956442"/>
          <c:y val="0.89456079453920356"/>
          <c:w val="0.23486682808716713"/>
          <c:h val="8.1632924216505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autoTitleDeleted val="1"/>
    <c:plotArea>
      <c:layout>
        <c:manualLayout>
          <c:layoutTarget val="inner"/>
          <c:xMode val="edge"/>
          <c:yMode val="edge"/>
          <c:x val="9.2869138793562775E-2"/>
          <c:y val="0.15014164305949021"/>
          <c:w val="0.88225681853884663"/>
          <c:h val="0.75637393767705385"/>
        </c:manualLayout>
      </c:layout>
      <c:barChart>
        <c:barDir val="col"/>
        <c:grouping val="clustered"/>
        <c:ser>
          <c:idx val="0"/>
          <c:order val="0"/>
          <c:tx>
            <c:strRef>
              <c:f>Expenditures!$H$36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Expenditures!$I$24:$M$24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Expenditures!$I$36:$M$36</c:f>
              <c:numCache>
                <c:formatCode>_(* #,##0_);_(* \(#,##0\);_(* "-"_);_(@_)</c:formatCode>
                <c:ptCount val="5"/>
                <c:pt idx="0">
                  <c:v>66553</c:v>
                </c:pt>
                <c:pt idx="1">
                  <c:v>62003</c:v>
                </c:pt>
                <c:pt idx="2">
                  <c:v>70091</c:v>
                </c:pt>
                <c:pt idx="3">
                  <c:v>75264</c:v>
                </c:pt>
                <c:pt idx="4">
                  <c:v>78783</c:v>
                </c:pt>
              </c:numCache>
            </c:numRef>
          </c:val>
        </c:ser>
        <c:axId val="82627968"/>
        <c:axId val="90313856"/>
      </c:barChart>
      <c:catAx>
        <c:axId val="8262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13856"/>
        <c:crosses val="autoZero"/>
        <c:lblAlgn val="ctr"/>
        <c:lblOffset val="100"/>
        <c:tickLblSkip val="1"/>
        <c:tickMarkSkip val="1"/>
      </c:catAx>
      <c:valAx>
        <c:axId val="903138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796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layout>
        <c:manualLayout>
          <c:xMode val="edge"/>
          <c:yMode val="edge"/>
          <c:x val="0.46578466858242934"/>
          <c:y val="3.48101803707543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357715830478763E-2"/>
          <c:y val="9.8101417408489655E-2"/>
          <c:w val="0.5408400180222519"/>
          <c:h val="0.77531765371225658"/>
        </c:manualLayout>
      </c:layout>
      <c:pieChart>
        <c:varyColors val="1"/>
        <c:ser>
          <c:idx val="0"/>
          <c:order val="0"/>
          <c:tx>
            <c:strRef>
              <c:f>Expenditures!$K$4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1C3D5"/>
              </a:solidFill>
              <a:ln w="25400">
                <a:noFill/>
              </a:ln>
            </c:spPr>
          </c:dPt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78783</c:v>
                </c:pt>
                <c:pt idx="1">
                  <c:v>69764</c:v>
                </c:pt>
                <c:pt idx="2">
                  <c:v>4793</c:v>
                </c:pt>
                <c:pt idx="3">
                  <c:v>172381</c:v>
                </c:pt>
                <c:pt idx="4">
                  <c:v>127943</c:v>
                </c:pt>
                <c:pt idx="5">
                  <c:v>0</c:v>
                </c:pt>
                <c:pt idx="6">
                  <c:v>0</c:v>
                </c:pt>
                <c:pt idx="7">
                  <c:v>73392</c:v>
                </c:pt>
                <c:pt idx="8">
                  <c:v>61066</c:v>
                </c:pt>
                <c:pt idx="9">
                  <c:v>36907</c:v>
                </c:pt>
                <c:pt idx="10">
                  <c:v>285019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89536746207485"/>
          <c:y val="0.10759510296414998"/>
          <c:w val="0.32450401081335123"/>
          <c:h val="0.82595064334244483"/>
        </c:manualLayout>
      </c:layout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36203168553326248"/>
          <c:y val="9.3484419263456145E-2"/>
          <c:w val="0.56512263107631211"/>
          <c:h val="0.64589235127478783"/>
        </c:manualLayout>
      </c:layout>
      <c:barChart>
        <c:barDir val="bar"/>
        <c:grouping val="clustered"/>
        <c:ser>
          <c:idx val="0"/>
          <c:order val="0"/>
          <c:tx>
            <c:strRef>
              <c:f>Expenditures!$J$4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Expenditures!$J$5:$J$15</c:f>
              <c:numCache>
                <c:formatCode>_("$"* #,##0_);_("$"* \(#,##0\);_("$"* "-"??_);_(@_)</c:formatCode>
                <c:ptCount val="11"/>
                <c:pt idx="0">
                  <c:v>75264</c:v>
                </c:pt>
                <c:pt idx="1">
                  <c:v>64230</c:v>
                </c:pt>
                <c:pt idx="2">
                  <c:v>4329</c:v>
                </c:pt>
                <c:pt idx="3">
                  <c:v>318355</c:v>
                </c:pt>
                <c:pt idx="4">
                  <c:v>115632</c:v>
                </c:pt>
                <c:pt idx="5">
                  <c:v>0</c:v>
                </c:pt>
                <c:pt idx="6">
                  <c:v>143063</c:v>
                </c:pt>
                <c:pt idx="7">
                  <c:v>43113</c:v>
                </c:pt>
                <c:pt idx="8">
                  <c:v>1598</c:v>
                </c:pt>
                <c:pt idx="9">
                  <c:v>19284</c:v>
                </c:pt>
                <c:pt idx="10">
                  <c:v>297303</c:v>
                </c:pt>
              </c:numCache>
            </c:numRef>
          </c:val>
        </c:ser>
        <c:ser>
          <c:idx val="1"/>
          <c:order val="1"/>
          <c:tx>
            <c:strRef>
              <c:f>Expenditures!$K$4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78783</c:v>
                </c:pt>
                <c:pt idx="1">
                  <c:v>69764</c:v>
                </c:pt>
                <c:pt idx="2">
                  <c:v>4793</c:v>
                </c:pt>
                <c:pt idx="3">
                  <c:v>172381</c:v>
                </c:pt>
                <c:pt idx="4">
                  <c:v>127943</c:v>
                </c:pt>
                <c:pt idx="5">
                  <c:v>0</c:v>
                </c:pt>
                <c:pt idx="6">
                  <c:v>0</c:v>
                </c:pt>
                <c:pt idx="7">
                  <c:v>73392</c:v>
                </c:pt>
                <c:pt idx="8">
                  <c:v>61066</c:v>
                </c:pt>
                <c:pt idx="9">
                  <c:v>36907</c:v>
                </c:pt>
                <c:pt idx="10">
                  <c:v>285019</c:v>
                </c:pt>
              </c:numCache>
            </c:numRef>
          </c:val>
        </c:ser>
        <c:axId val="90180224"/>
        <c:axId val="90186112"/>
      </c:barChart>
      <c:catAx>
        <c:axId val="90180224"/>
        <c:scaling>
          <c:orientation val="minMax"/>
        </c:scaling>
        <c:axPos val="l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86112"/>
        <c:crosses val="autoZero"/>
        <c:lblAlgn val="ctr"/>
        <c:lblOffset val="100"/>
        <c:tickLblSkip val="1"/>
        <c:tickMarkSkip val="1"/>
      </c:catAx>
      <c:valAx>
        <c:axId val="901861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8022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6821357661936185"/>
                <c:y val="0.8158640226628898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5540915470033685"/>
          <c:y val="0.91218130311614731"/>
          <c:w val="0.22075102776418437"/>
          <c:h val="6.79886685552408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24208171539358048"/>
          <c:y val="5.2117346735906254E-2"/>
          <c:w val="0.74886960556331961"/>
          <c:h val="0.79804687189356405"/>
        </c:manualLayout>
      </c:layout>
      <c:barChart>
        <c:barDir val="col"/>
        <c:grouping val="clustered"/>
        <c:ser>
          <c:idx val="0"/>
          <c:order val="0"/>
          <c:tx>
            <c:strRef>
              <c:f>Position!$A$5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Position!$B$5:$F$5</c:f>
              <c:numCache>
                <c:formatCode>_(* #,##0_);_(* \(#,##0\);_(* "-"_);_(@_)</c:formatCode>
                <c:ptCount val="5"/>
                <c:pt idx="0">
                  <c:v>806194</c:v>
                </c:pt>
                <c:pt idx="1">
                  <c:v>1111077</c:v>
                </c:pt>
                <c:pt idx="2">
                  <c:v>860526</c:v>
                </c:pt>
                <c:pt idx="3">
                  <c:v>1061428</c:v>
                </c:pt>
                <c:pt idx="4">
                  <c:v>915176</c:v>
                </c:pt>
              </c:numCache>
            </c:numRef>
          </c:val>
        </c:ser>
        <c:ser>
          <c:idx val="1"/>
          <c:order val="1"/>
          <c:tx>
            <c:strRef>
              <c:f>Position!$A$6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Position!$B$6:$F$6</c:f>
              <c:numCache>
                <c:formatCode>_(* #,##0_);_(* \(#,##0\);_(* "-"_);_(@_)</c:formatCode>
                <c:ptCount val="5"/>
                <c:pt idx="0">
                  <c:v>805560</c:v>
                </c:pt>
                <c:pt idx="1">
                  <c:v>1075115</c:v>
                </c:pt>
                <c:pt idx="2">
                  <c:v>836776</c:v>
                </c:pt>
                <c:pt idx="3">
                  <c:v>1082171</c:v>
                </c:pt>
                <c:pt idx="4">
                  <c:v>910048</c:v>
                </c:pt>
              </c:numCache>
            </c:numRef>
          </c:val>
        </c:ser>
        <c:axId val="90384640"/>
        <c:axId val="90394624"/>
      </c:barChart>
      <c:lineChart>
        <c:grouping val="standard"/>
        <c:ser>
          <c:idx val="2"/>
          <c:order val="2"/>
          <c:tx>
            <c:strRef>
              <c:f>Position!$A$7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Position!$B$7:$F$7</c:f>
              <c:numCache>
                <c:formatCode>_(* #,##0_);_(* \(#,##0\);_(* "-"_);_(@_)</c:formatCode>
                <c:ptCount val="5"/>
                <c:pt idx="0">
                  <c:v>311013</c:v>
                </c:pt>
                <c:pt idx="1">
                  <c:v>135975</c:v>
                </c:pt>
                <c:pt idx="2">
                  <c:v>159725</c:v>
                </c:pt>
                <c:pt idx="3">
                  <c:v>138982</c:v>
                </c:pt>
                <c:pt idx="4">
                  <c:v>144110</c:v>
                </c:pt>
              </c:numCache>
            </c:numRef>
          </c:val>
          <c:smooth val="1"/>
        </c:ser>
        <c:marker val="1"/>
        <c:axId val="90384640"/>
        <c:axId val="90394624"/>
      </c:lineChart>
      <c:catAx>
        <c:axId val="9038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4624"/>
        <c:crosses val="autoZero"/>
        <c:lblAlgn val="ctr"/>
        <c:lblOffset val="100"/>
        <c:tickLblSkip val="1"/>
        <c:tickMarkSkip val="1"/>
      </c:catAx>
      <c:valAx>
        <c:axId val="90394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84640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0724026888639728E-2"/>
          <c:y val="0.93159757290432377"/>
          <c:w val="0.95022729406826001"/>
          <c:h val="5.86320150778944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6742099943107441"/>
          <c:y val="5.4794612175279894E-2"/>
          <c:w val="0.81900542964931"/>
          <c:h val="0.77054923371487394"/>
        </c:manualLayout>
      </c:layout>
      <c:barChart>
        <c:barDir val="col"/>
        <c:grouping val="stacked"/>
        <c:ser>
          <c:idx val="0"/>
          <c:order val="0"/>
          <c:tx>
            <c:strRef>
              <c:f>Position!$J$10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Position!$K$10:$L$10</c:f>
              <c:numCache>
                <c:formatCode>_("$"* #,##0_);_("$"* \(#,##0\);_("$"* "-"??_);_(@_)</c:formatCode>
                <c:ptCount val="2"/>
                <c:pt idx="0">
                  <c:v>46086</c:v>
                </c:pt>
                <c:pt idx="1">
                  <c:v>36588</c:v>
                </c:pt>
              </c:numCache>
            </c:numRef>
          </c:val>
        </c:ser>
        <c:ser>
          <c:idx val="1"/>
          <c:order val="1"/>
          <c:tx>
            <c:strRef>
              <c:f>Position!$J$11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B7B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Position!$K$11:$L$11</c:f>
              <c:numCache>
                <c:formatCode>_("$"* #,##0_);_("$"* \(#,##0\);_("$"* "-"??_);_(@_)</c:formatCode>
                <c:ptCount val="2"/>
                <c:pt idx="0">
                  <c:v>677</c:v>
                </c:pt>
                <c:pt idx="1">
                  <c:v>48698</c:v>
                </c:pt>
              </c:numCache>
            </c:numRef>
          </c:val>
        </c:ser>
        <c:ser>
          <c:idx val="2"/>
          <c:order val="2"/>
          <c:tx>
            <c:strRef>
              <c:f>Position!$J$12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Position!$K$12:$L$12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Position!$J$13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Position!$K$13:$L$13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Position!$J$14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Position!$K$14:$L$14</c:f>
              <c:numCache>
                <c:formatCode>_("$"* #,##0_);_("$"* \(#,##0\);_("$"* "-"??_);_(@_)</c:formatCode>
                <c:ptCount val="2"/>
                <c:pt idx="0">
                  <c:v>92219</c:v>
                </c:pt>
                <c:pt idx="1">
                  <c:v>58824</c:v>
                </c:pt>
              </c:numCache>
            </c:numRef>
          </c:val>
        </c:ser>
        <c:overlap val="100"/>
        <c:axId val="90433792"/>
        <c:axId val="90255360"/>
      </c:barChart>
      <c:catAx>
        <c:axId val="9043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55360"/>
        <c:crosses val="autoZero"/>
        <c:lblAlgn val="ctr"/>
        <c:lblOffset val="100"/>
        <c:tickLblSkip val="1"/>
        <c:tickMarkSkip val="1"/>
      </c:catAx>
      <c:valAx>
        <c:axId val="90255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379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461580950381949E-2"/>
          <c:y val="0.93493307024071304"/>
          <c:w val="0.95248974000651776"/>
          <c:h val="4.79452856533698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6243681663232448"/>
          <c:y val="5.4794612175279894E-2"/>
          <c:w val="0.82233638420114219"/>
          <c:h val="0.77054923371487394"/>
        </c:manualLayout>
      </c:layout>
      <c:barChart>
        <c:barDir val="col"/>
        <c:grouping val="stacked"/>
        <c:ser>
          <c:idx val="0"/>
          <c:order val="0"/>
          <c:tx>
            <c:strRef>
              <c:f>Position!$I$20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Position!$J$20:$N$20</c:f>
              <c:numCache>
                <c:formatCode>_(* #,##0_);_(* \(#,##0\);_(* "-"_);_(@_)</c:formatCode>
                <c:ptCount val="5"/>
                <c:pt idx="0">
                  <c:v>51853</c:v>
                </c:pt>
                <c:pt idx="1">
                  <c:v>46151</c:v>
                </c:pt>
                <c:pt idx="2">
                  <c:v>44190</c:v>
                </c:pt>
                <c:pt idx="3">
                  <c:v>46086</c:v>
                </c:pt>
                <c:pt idx="4">
                  <c:v>36588</c:v>
                </c:pt>
              </c:numCache>
            </c:numRef>
          </c:val>
        </c:ser>
        <c:ser>
          <c:idx val="1"/>
          <c:order val="1"/>
          <c:tx>
            <c:strRef>
              <c:f>Position!$I$21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Position!$J$21:$N$21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59768</c:v>
                </c:pt>
                <c:pt idx="2">
                  <c:v>25581</c:v>
                </c:pt>
                <c:pt idx="3">
                  <c:v>677</c:v>
                </c:pt>
                <c:pt idx="4">
                  <c:v>48698</c:v>
                </c:pt>
              </c:numCache>
            </c:numRef>
          </c:val>
        </c:ser>
        <c:ser>
          <c:idx val="2"/>
          <c:order val="2"/>
          <c:tx>
            <c:strRef>
              <c:f>Position!$I$22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Position!$J$22:$N$22</c:f>
              <c:numCache>
                <c:formatCode>_(* #,##0_);_(* \(#,##0\);_(* "-"_);_(@_)</c:formatCode>
                <c:ptCount val="5"/>
                <c:pt idx="0">
                  <c:v>129580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Position!$I$23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Position!$J$23:$N$23</c:f>
              <c:numCache>
                <c:formatCode>_(* #,##0_);_(* \(#,##0\);_(* "-"_);_(@_)</c:formatCode>
                <c:ptCount val="5"/>
                <c:pt idx="0">
                  <c:v>79816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Position!$I$24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Position!$J$24:$N$24</c:f>
              <c:numCache>
                <c:formatCode>_(* #,##0_);_(* \(#,##0\);_(* "-"_);_(@_)</c:formatCode>
                <c:ptCount val="5"/>
                <c:pt idx="0">
                  <c:v>49764</c:v>
                </c:pt>
                <c:pt idx="1">
                  <c:v>30056</c:v>
                </c:pt>
                <c:pt idx="2">
                  <c:v>89954</c:v>
                </c:pt>
                <c:pt idx="3">
                  <c:v>92219</c:v>
                </c:pt>
                <c:pt idx="4">
                  <c:v>58824</c:v>
                </c:pt>
              </c:numCache>
            </c:numRef>
          </c:val>
        </c:ser>
        <c:overlap val="100"/>
        <c:axId val="90294528"/>
        <c:axId val="90300416"/>
      </c:barChart>
      <c:catAx>
        <c:axId val="902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00416"/>
        <c:crosses val="autoZero"/>
        <c:lblAlgn val="ctr"/>
        <c:lblOffset val="100"/>
        <c:tickLblSkip val="1"/>
        <c:tickMarkSkip val="1"/>
      </c:catAx>
      <c:valAx>
        <c:axId val="903004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9452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3841003465067604E-2"/>
          <c:y val="0.93493307024071304"/>
          <c:w val="0.95939244823466618"/>
          <c:h val="4.79452856533698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19050</xdr:rowOff>
    </xdr:from>
    <xdr:to>
      <xdr:col>13</xdr:col>
      <xdr:colOff>133350</xdr:colOff>
      <xdr:row>32</xdr:row>
      <xdr:rowOff>133350</xdr:rowOff>
    </xdr:to>
    <xdr:graphicFrame macro="">
      <xdr:nvGraphicFramePr>
        <xdr:cNvPr id="29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</xdr:row>
      <xdr:rowOff>9525</xdr:rowOff>
    </xdr:from>
    <xdr:to>
      <xdr:col>4</xdr:col>
      <xdr:colOff>352425</xdr:colOff>
      <xdr:row>16</xdr:row>
      <xdr:rowOff>123825</xdr:rowOff>
    </xdr:to>
    <xdr:graphicFrame macro="">
      <xdr:nvGraphicFramePr>
        <xdr:cNvPr id="29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18</xdr:row>
      <xdr:rowOff>47625</xdr:rowOff>
    </xdr:from>
    <xdr:to>
      <xdr:col>4</xdr:col>
      <xdr:colOff>352425</xdr:colOff>
      <xdr:row>32</xdr:row>
      <xdr:rowOff>180975</xdr:rowOff>
    </xdr:to>
    <xdr:graphicFrame macro="">
      <xdr:nvGraphicFramePr>
        <xdr:cNvPr id="29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19</xdr:row>
      <xdr:rowOff>57150</xdr:rowOff>
    </xdr:from>
    <xdr:to>
      <xdr:col>13</xdr:col>
      <xdr:colOff>161925</xdr:colOff>
      <xdr:row>36</xdr:row>
      <xdr:rowOff>180975</xdr:rowOff>
    </xdr:to>
    <xdr:graphicFrame macro="">
      <xdr:nvGraphicFramePr>
        <xdr:cNvPr id="39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38100</xdr:rowOff>
    </xdr:from>
    <xdr:to>
      <xdr:col>4</xdr:col>
      <xdr:colOff>895350</xdr:colOff>
      <xdr:row>17</xdr:row>
      <xdr:rowOff>114300</xdr:rowOff>
    </xdr:to>
    <xdr:graphicFrame macro="">
      <xdr:nvGraphicFramePr>
        <xdr:cNvPr id="39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19</xdr:row>
      <xdr:rowOff>38100</xdr:rowOff>
    </xdr:from>
    <xdr:to>
      <xdr:col>4</xdr:col>
      <xdr:colOff>895350</xdr:colOff>
      <xdr:row>36</xdr:row>
      <xdr:rowOff>161925</xdr:rowOff>
    </xdr:to>
    <xdr:graphicFrame macro="">
      <xdr:nvGraphicFramePr>
        <xdr:cNvPr id="39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5</xdr:col>
      <xdr:colOff>895350</xdr:colOff>
      <xdr:row>16</xdr:row>
      <xdr:rowOff>133350</xdr:rowOff>
    </xdr:to>
    <xdr:graphicFrame macro="">
      <xdr:nvGraphicFramePr>
        <xdr:cNvPr id="8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28575</xdr:rowOff>
    </xdr:from>
    <xdr:to>
      <xdr:col>5</xdr:col>
      <xdr:colOff>885825</xdr:colOff>
      <xdr:row>32</xdr:row>
      <xdr:rowOff>142875</xdr:rowOff>
    </xdr:to>
    <xdr:graphicFrame macro="">
      <xdr:nvGraphicFramePr>
        <xdr:cNvPr id="8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18</xdr:row>
      <xdr:rowOff>47625</xdr:rowOff>
    </xdr:from>
    <xdr:to>
      <xdr:col>14</xdr:col>
      <xdr:colOff>133350</xdr:colOff>
      <xdr:row>32</xdr:row>
      <xdr:rowOff>161925</xdr:rowOff>
    </xdr:to>
    <xdr:graphicFrame macro="">
      <xdr:nvGraphicFramePr>
        <xdr:cNvPr id="80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7</xdr:col>
      <xdr:colOff>600075</xdr:colOff>
      <xdr:row>16</xdr:row>
      <xdr:rowOff>190500</xdr:rowOff>
    </xdr:to>
    <xdr:graphicFrame macro="">
      <xdr:nvGraphicFramePr>
        <xdr:cNvPr id="2925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</xdr:row>
      <xdr:rowOff>19050</xdr:rowOff>
    </xdr:from>
    <xdr:to>
      <xdr:col>16</xdr:col>
      <xdr:colOff>314325</xdr:colOff>
      <xdr:row>16</xdr:row>
      <xdr:rowOff>190500</xdr:rowOff>
    </xdr:to>
    <xdr:graphicFrame macro="">
      <xdr:nvGraphicFramePr>
        <xdr:cNvPr id="2925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2</xdr:row>
      <xdr:rowOff>9525</xdr:rowOff>
    </xdr:from>
    <xdr:to>
      <xdr:col>22</xdr:col>
      <xdr:colOff>666750</xdr:colOff>
      <xdr:row>16</xdr:row>
      <xdr:rowOff>142875</xdr:rowOff>
    </xdr:to>
    <xdr:graphicFrame macro="">
      <xdr:nvGraphicFramePr>
        <xdr:cNvPr id="2925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18</xdr:row>
      <xdr:rowOff>76200</xdr:rowOff>
    </xdr:from>
    <xdr:to>
      <xdr:col>13</xdr:col>
      <xdr:colOff>133350</xdr:colOff>
      <xdr:row>32</xdr:row>
      <xdr:rowOff>200025</xdr:rowOff>
    </xdr:to>
    <xdr:graphicFrame macro="">
      <xdr:nvGraphicFramePr>
        <xdr:cNvPr id="29250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123825</xdr:colOff>
      <xdr:row>18</xdr:row>
      <xdr:rowOff>66675</xdr:rowOff>
    </xdr:from>
    <xdr:to>
      <xdr:col>22</xdr:col>
      <xdr:colOff>723900</xdr:colOff>
      <xdr:row>32</xdr:row>
      <xdr:rowOff>209550</xdr:rowOff>
    </xdr:to>
    <xdr:graphicFrame macro="">
      <xdr:nvGraphicFramePr>
        <xdr:cNvPr id="29250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77"/>
  <sheetViews>
    <sheetView topLeftCell="A47" workbookViewId="0">
      <selection activeCell="D71" sqref="D71"/>
    </sheetView>
  </sheetViews>
  <sheetFormatPr defaultColWidth="9" defaultRowHeight="15" customHeight="1"/>
  <cols>
    <col min="1" max="1" width="38.42578125" style="32" customWidth="1"/>
    <col min="2" max="6" width="16.28515625" style="15" customWidth="1"/>
    <col min="7" max="7" width="11" style="15" customWidth="1"/>
    <col min="8" max="8" width="10.140625" style="15" customWidth="1"/>
    <col min="9" max="16384" width="9" style="15"/>
  </cols>
  <sheetData>
    <row r="1" spans="1:8" ht="15" customHeight="1">
      <c r="A1" s="140" t="s">
        <v>145</v>
      </c>
      <c r="B1" s="140"/>
      <c r="C1" s="140"/>
      <c r="D1" s="140"/>
      <c r="E1" s="140"/>
      <c r="F1" s="140"/>
      <c r="G1" s="140"/>
      <c r="H1" s="140"/>
    </row>
    <row r="2" spans="1:8" ht="15" customHeight="1">
      <c r="A2" s="36"/>
      <c r="G2" s="16" t="s">
        <v>85</v>
      </c>
      <c r="H2" s="17"/>
    </row>
    <row r="3" spans="1:8" s="18" customFormat="1" ht="17.25" customHeight="1">
      <c r="A3" s="37"/>
      <c r="B3" s="18">
        <f>'F-65 Cross-walk'!D1</f>
        <v>2011</v>
      </c>
      <c r="C3" s="18">
        <f>'F-65 Cross-walk'!E1</f>
        <v>2012</v>
      </c>
      <c r="D3" s="18">
        <f>'F-65 Cross-walk'!F1</f>
        <v>2013</v>
      </c>
      <c r="E3" s="18">
        <f>'F-65 Cross-walk'!G1</f>
        <v>2014</v>
      </c>
      <c r="F3" s="18">
        <f>'F-65 Cross-walk'!H1</f>
        <v>2015</v>
      </c>
      <c r="G3" s="18">
        <f>H3-1</f>
        <v>2014</v>
      </c>
      <c r="H3" s="18">
        <f>IF(F66&gt;0,F3,IF(E66&gt;0,E3,IF(D66&gt;0,D3,C3)))</f>
        <v>2015</v>
      </c>
    </row>
    <row r="4" spans="1:8" ht="30">
      <c r="A4" s="34" t="s">
        <v>111</v>
      </c>
      <c r="C4" s="20"/>
      <c r="F4" s="19"/>
    </row>
    <row r="5" spans="1:8" ht="15" customHeight="1">
      <c r="A5" s="38" t="s">
        <v>22</v>
      </c>
      <c r="B5" s="33"/>
      <c r="C5" s="33"/>
      <c r="D5" s="33"/>
      <c r="E5" s="33"/>
      <c r="F5" s="33"/>
      <c r="G5" s="33"/>
      <c r="H5" s="33"/>
    </row>
    <row r="6" spans="1:8" ht="15" customHeight="1">
      <c r="A6" s="52" t="s">
        <v>141</v>
      </c>
      <c r="B6" s="53">
        <f>SUMIF('F-65 Cross-walk'!C4:C76,'Data Input'!A6,'F-65 Cross-walk'!D4:D76)</f>
        <v>153084</v>
      </c>
      <c r="C6" s="53">
        <f>SUMIF('F-65 Cross-walk'!C4:C76,'Data Input'!A6,'F-65 Cross-walk'!E4:E76)</f>
        <v>176746</v>
      </c>
      <c r="D6" s="53">
        <f>SUMIF('F-65 Cross-walk'!C4:C76,'Data Input'!A6,'F-65 Cross-walk'!F4:F76)</f>
        <v>173627</v>
      </c>
      <c r="E6" s="53">
        <f>SUMIF('F-65 Cross-walk'!C4:C76,'Data Input'!A6,'F-65 Cross-walk'!G4:G76)</f>
        <v>187087</v>
      </c>
      <c r="F6" s="53">
        <f>SUMIF('F-65 Cross-walk'!C4:C76,'Data Input'!A6,'F-65 Cross-walk'!H4:H76)</f>
        <v>177084</v>
      </c>
      <c r="G6" s="54">
        <f>(HLOOKUP($G$3,$B$3:$F$64,4))/(HLOOKUP($G$3,$B$3:$F$66,64))</f>
        <v>188.21629778672033</v>
      </c>
      <c r="H6" s="54">
        <f>(HLOOKUP($H$3,$B$3:$F$64,4))/(HLOOKUP($H$3,$B$3:$F$66,64))</f>
        <v>178.87272727272727</v>
      </c>
    </row>
    <row r="7" spans="1:8" ht="15" customHeight="1">
      <c r="A7" s="55" t="s">
        <v>40</v>
      </c>
      <c r="B7" s="56">
        <f>SUMIF('F-65 Cross-walk'!C4:C76,'Data Input'!A7,'F-65 Cross-walk'!D4:D76)</f>
        <v>16447</v>
      </c>
      <c r="C7" s="56">
        <f>SUMIF('F-65 Cross-walk'!C4:C76,'Data Input'!A7,'F-65 Cross-walk'!E4:E76)</f>
        <v>15319</v>
      </c>
      <c r="D7" s="56">
        <f>SUMIF('F-65 Cross-walk'!C4:C76,'Data Input'!A7,'F-65 Cross-walk'!F4:F76)</f>
        <v>16363</v>
      </c>
      <c r="E7" s="56">
        <f>SUMIF('F-65 Cross-walk'!C4:C76,'Data Input'!A7,'F-65 Cross-walk'!G4:G76)</f>
        <v>16982</v>
      </c>
      <c r="F7" s="56">
        <f>SUMIF('F-65 Cross-walk'!C4:C76,'Data Input'!A7,'F-65 Cross-walk'!H4:H76)</f>
        <v>17149</v>
      </c>
      <c r="G7" s="54">
        <f>(HLOOKUP($G$3,$B$3:$F$64,5))/(HLOOKUP($G$3,$B$3:$F$66,64))</f>
        <v>17.08450704225352</v>
      </c>
      <c r="H7" s="54">
        <f>(HLOOKUP($H$3,$B$3:$F$64,5))/(HLOOKUP($H$3,$B$3:$F$66,64))</f>
        <v>17.322222222222223</v>
      </c>
    </row>
    <row r="8" spans="1:8" ht="15" customHeight="1">
      <c r="A8" s="55" t="s">
        <v>93</v>
      </c>
      <c r="B8" s="56">
        <f>SUMIF('F-65 Cross-walk'!C4:C76,'Data Input'!A8,'F-65 Cross-walk'!D4:D76)</f>
        <v>21154</v>
      </c>
      <c r="C8" s="56">
        <f>SUMIF('F-65 Cross-walk'!C4:C76,'Data Input'!A8,'F-65 Cross-walk'!E4:E76)</f>
        <v>278319</v>
      </c>
      <c r="D8" s="56">
        <f>SUMIF('F-65 Cross-walk'!C4:C76,'Data Input'!A8,'F-65 Cross-walk'!F4:F76)</f>
        <v>5000</v>
      </c>
      <c r="E8" s="56">
        <f>SUMIF('F-65 Cross-walk'!C4:C76,'Data Input'!A8,'F-65 Cross-walk'!G4:G76)</f>
        <v>150242</v>
      </c>
      <c r="F8" s="56">
        <f>SUMIF('F-65 Cross-walk'!C4:C76,'Data Input'!A8,'F-65 Cross-walk'!H4:H76)</f>
        <v>21999</v>
      </c>
      <c r="G8" s="54">
        <f>(HLOOKUP($G$3,$B$3:$F$64,6))/(HLOOKUP($G$3,$B$3:$F$66,64))</f>
        <v>151.14889336016097</v>
      </c>
      <c r="H8" s="54">
        <f>(HLOOKUP($H$3,$B$3:$F$64,6))/(HLOOKUP($H$3,$B$3:$F$66,64))</f>
        <v>22.221212121212123</v>
      </c>
    </row>
    <row r="9" spans="1:8" ht="15" customHeight="1">
      <c r="A9" s="55" t="s">
        <v>6</v>
      </c>
      <c r="B9" s="56">
        <f>SUMIF('F-65 Cross-walk'!C4:C76,'Data Input'!A9,'F-65 Cross-walk'!D4:D76)</f>
        <v>234541</v>
      </c>
      <c r="C9" s="56">
        <f>SUMIF('F-65 Cross-walk'!C4:C76,'Data Input'!A9,'F-65 Cross-walk'!E4:E76)</f>
        <v>246265</v>
      </c>
      <c r="D9" s="56">
        <f>SUMIF('F-65 Cross-walk'!C4:C76,'Data Input'!A9,'F-65 Cross-walk'!F4:F76)</f>
        <v>273127</v>
      </c>
      <c r="E9" s="56">
        <f>SUMIF('F-65 Cross-walk'!C4:C76,'Data Input'!A9,'F-65 Cross-walk'!G4:G76)</f>
        <v>276490</v>
      </c>
      <c r="F9" s="56">
        <f>SUMIF('F-65 Cross-walk'!C4:C76,'Data Input'!A9,'F-65 Cross-walk'!H4:H76)</f>
        <v>304793</v>
      </c>
      <c r="G9" s="54">
        <f>(HLOOKUP($G$3,$B$3:$F$64,7))/(HLOOKUP($G$3,$B$3:$F$66,64))</f>
        <v>278.15895372233399</v>
      </c>
      <c r="H9" s="54">
        <f>(HLOOKUP($H$3,$B$3:$F$64,7))/(HLOOKUP($H$3,$B$3:$F$66,64))</f>
        <v>307.87171717171719</v>
      </c>
    </row>
    <row r="10" spans="1:8" ht="15" customHeight="1">
      <c r="A10" s="55" t="s">
        <v>75</v>
      </c>
      <c r="B10" s="56">
        <f>SUMIF('F-65 Cross-walk'!C4:C76,'Data Input'!A10,'F-65 Cross-walk'!D4:D76)</f>
        <v>13794</v>
      </c>
      <c r="C10" s="56">
        <f>SUMIF('F-65 Cross-walk'!C4:C76,'Data Input'!A10,'F-65 Cross-walk'!E4:E76)</f>
        <v>13717</v>
      </c>
      <c r="D10" s="56">
        <f>SUMIF('F-65 Cross-walk'!C4:C76,'Data Input'!A10,'F-65 Cross-walk'!F4:F76)</f>
        <v>13367</v>
      </c>
      <c r="E10" s="56">
        <f>SUMIF('F-65 Cross-walk'!C4:C76,'Data Input'!A10,'F-65 Cross-walk'!G4:G76)</f>
        <v>0</v>
      </c>
      <c r="F10" s="56">
        <f>SUMIF('F-65 Cross-walk'!C4:C76,'Data Input'!A10,'F-65 Cross-walk'!H4:H76)</f>
        <v>13442</v>
      </c>
      <c r="G10" s="54">
        <f>(HLOOKUP($G$3,$B$3:$F$64,8))/(HLOOKUP($G$3,$B$3:$F$66,64))</f>
        <v>0</v>
      </c>
      <c r="H10" s="54">
        <f>(HLOOKUP($H$3,$B$3:$F$64,8))/(HLOOKUP($H$3,$B$3:$F$66,64))</f>
        <v>13.577777777777778</v>
      </c>
    </row>
    <row r="11" spans="1:8" ht="15" customHeight="1">
      <c r="A11" s="55" t="s">
        <v>166</v>
      </c>
      <c r="B11" s="56">
        <f>SUMIF('F-65 Cross-walk'!C4:C76,'Data Input'!A11,'F-65 Cross-walk'!D4:D76)</f>
        <v>39729</v>
      </c>
      <c r="C11" s="56">
        <f>SUMIF('F-65 Cross-walk'!C4:C76,'Data Input'!A11,'F-65 Cross-walk'!E4:E76)</f>
        <v>35194</v>
      </c>
      <c r="D11" s="56">
        <f>SUMIF('F-65 Cross-walk'!C4:C76,'Data Input'!A11,'F-65 Cross-walk'!F4:F76)</f>
        <v>32464</v>
      </c>
      <c r="E11" s="56">
        <f>SUMIF('F-65 Cross-walk'!C4:C76,'Data Input'!A11,'F-65 Cross-walk'!G4:G76)</f>
        <v>36013</v>
      </c>
      <c r="F11" s="56">
        <f>SUMIF('F-65 Cross-walk'!C4:C76,'Data Input'!A11,'F-65 Cross-walk'!H4:H76)</f>
        <v>33477</v>
      </c>
      <c r="G11" s="54">
        <f>(HLOOKUP($G$3,$B$3:$F$64,9))/(HLOOKUP($G$3,$B$3:$F$66,64))</f>
        <v>36.230382293762574</v>
      </c>
      <c r="H11" s="54">
        <f>(HLOOKUP($H$3,$B$3:$F$64,9))/(HLOOKUP($H$3,$B$3:$F$66,64))</f>
        <v>33.815151515151513</v>
      </c>
    </row>
    <row r="12" spans="1:8" ht="15" customHeight="1">
      <c r="A12" s="55" t="s">
        <v>0</v>
      </c>
      <c r="B12" s="56">
        <f>SUMIF('F-65 Cross-walk'!C4:C76,'Data Input'!A12,'F-65 Cross-walk'!D4:D76)</f>
        <v>265</v>
      </c>
      <c r="C12" s="56">
        <f>SUMIF('F-65 Cross-walk'!C4:C76,'Data Input'!A12,'F-65 Cross-walk'!E4:E76)</f>
        <v>1338</v>
      </c>
      <c r="D12" s="56">
        <f>SUMIF('F-65 Cross-walk'!C4:C76,'Data Input'!A12,'F-65 Cross-walk'!F4:F76)</f>
        <v>596</v>
      </c>
      <c r="E12" s="56">
        <f>SUMIF('F-65 Cross-walk'!C4:C76,'Data Input'!A12,'F-65 Cross-walk'!G4:G76)</f>
        <v>1263</v>
      </c>
      <c r="F12" s="56">
        <f>SUMIF('F-65 Cross-walk'!C4:C76,'Data Input'!A12,'F-65 Cross-walk'!H4:H76)</f>
        <v>869</v>
      </c>
      <c r="G12" s="54">
        <f>(HLOOKUP($G$3,$B$3:$F$64,10))/(HLOOKUP($G$3,$B$3:$F$66,64))</f>
        <v>1.2706237424547284</v>
      </c>
      <c r="H12" s="54">
        <f>(HLOOKUP($H$3,$B$3:$F$64,10))/(HLOOKUP($H$3,$B$3:$F$66,64))</f>
        <v>0.87777777777777777</v>
      </c>
    </row>
    <row r="13" spans="1:8" ht="15" customHeight="1">
      <c r="A13" s="55" t="s">
        <v>121</v>
      </c>
      <c r="B13" s="56">
        <f>SUMIF('F-65 Cross-walk'!C4:C76,'Data Input'!A13,'F-65 Cross-walk'!D4:D76)</f>
        <v>125800</v>
      </c>
      <c r="C13" s="56">
        <f>SUMIF('F-65 Cross-walk'!C4:C76,'Data Input'!A13,'F-65 Cross-walk'!E4:E76)</f>
        <v>147466</v>
      </c>
      <c r="D13" s="56">
        <f>SUMIF('F-65 Cross-walk'!C4:C76,'Data Input'!A13,'F-65 Cross-walk'!F4:F76)</f>
        <v>166500</v>
      </c>
      <c r="E13" s="56">
        <f>SUMIF('F-65 Cross-walk'!C4:C76,'Data Input'!A13,'F-65 Cross-walk'!G4:G76)</f>
        <v>171275</v>
      </c>
      <c r="F13" s="56">
        <f>SUMIF('F-65 Cross-walk'!C4:C76,'Data Input'!A13,'F-65 Cross-walk'!H4:H76)</f>
        <v>99035</v>
      </c>
      <c r="G13" s="54">
        <f>(HLOOKUP($G$3,$B$3:$F$64,11))/(HLOOKUP($G$3,$B$3:$F$66,64))</f>
        <v>172.30885311871228</v>
      </c>
      <c r="H13" s="54">
        <f>(HLOOKUP($H$3,$B$3:$F$64,11))/(HLOOKUP($H$3,$B$3:$F$66,64))</f>
        <v>100.03535353535354</v>
      </c>
    </row>
    <row r="14" spans="1:8" ht="15" customHeight="1">
      <c r="A14" s="58" t="s">
        <v>1</v>
      </c>
      <c r="B14" s="59">
        <f>SUMIF('F-65 Cross-walk'!C4:C76,'Data Input'!A14,'F-65 Cross-walk'!D4:D76)</f>
        <v>201380</v>
      </c>
      <c r="C14" s="59">
        <f>SUMIF('F-65 Cross-walk'!C4:C76,'Data Input'!A14,'F-65 Cross-walk'!E4:E76)</f>
        <v>196713</v>
      </c>
      <c r="D14" s="59">
        <f>SUMIF('F-65 Cross-walk'!C4:C76,'Data Input'!A14,'F-65 Cross-walk'!F4:F76)</f>
        <v>179482</v>
      </c>
      <c r="E14" s="59">
        <f>SUMIF('F-65 Cross-walk'!C4:C76,'Data Input'!A14,'F-65 Cross-walk'!G4:G76)</f>
        <v>222076</v>
      </c>
      <c r="F14" s="59">
        <f>SUMIF('F-65 Cross-walk'!C4:C76,'Data Input'!A14,'F-65 Cross-walk'!H4:H76)</f>
        <v>247328</v>
      </c>
      <c r="G14" s="54">
        <f>(HLOOKUP($G$3,$B$3:$F$64,12))/(HLOOKUP($G$3,$B$3:$F$66,64))</f>
        <v>223.41649899396378</v>
      </c>
      <c r="H14" s="54">
        <f>(HLOOKUP($H$3,$B$3:$F$64,12))/(HLOOKUP($H$3,$B$3:$F$66,64))</f>
        <v>249.82626262626263</v>
      </c>
    </row>
    <row r="15" spans="1:8" ht="15" customHeight="1">
      <c r="A15" s="40" t="s">
        <v>114</v>
      </c>
      <c r="B15" s="42">
        <f>SUM(B6:B14)</f>
        <v>806194</v>
      </c>
      <c r="C15" s="42">
        <f>SUM(C6:C14)</f>
        <v>1111077</v>
      </c>
      <c r="D15" s="42">
        <f>SUM(D6:D14)</f>
        <v>860526</v>
      </c>
      <c r="E15" s="42">
        <f>SUM(E6:E14)</f>
        <v>1061428</v>
      </c>
      <c r="F15" s="42">
        <f>SUM(F6:F14)</f>
        <v>915176</v>
      </c>
      <c r="G15" s="54">
        <f>(HLOOKUP($G$3,$B$3:$F$64,13))/(HLOOKUP($G$3,$B$3:$F$66,64))</f>
        <v>1067.8350100603623</v>
      </c>
      <c r="H15" s="54">
        <f>(HLOOKUP($H$3,$B$3:$F$64,13))/(HLOOKUP($H$3,$B$3:$F$66,64))</f>
        <v>924.42020202020205</v>
      </c>
    </row>
    <row r="16" spans="1:8" ht="15" customHeight="1">
      <c r="A16" s="38" t="s">
        <v>205</v>
      </c>
      <c r="B16" s="22"/>
      <c r="C16" s="22"/>
      <c r="D16" s="22"/>
      <c r="E16" s="22"/>
      <c r="F16" s="22"/>
      <c r="G16" s="54"/>
      <c r="H16" s="54"/>
    </row>
    <row r="17" spans="1:8" ht="15" customHeight="1">
      <c r="A17" s="52" t="s">
        <v>59</v>
      </c>
      <c r="B17" s="53">
        <f>SUMIF('F-65 Cross-walk'!C78:C126,'Data Input'!A17,'F-65 Cross-walk'!D78:D126)</f>
        <v>66553</v>
      </c>
      <c r="C17" s="53">
        <f>SUMIF('F-65 Cross-walk'!C78:C126,'Data Input'!A17,'F-65 Cross-walk'!E78:E126)</f>
        <v>62003</v>
      </c>
      <c r="D17" s="53">
        <f>SUMIF('F-65 Cross-walk'!C78:C126,'Data Input'!A17,'F-65 Cross-walk'!F78:F126)</f>
        <v>70091</v>
      </c>
      <c r="E17" s="53">
        <f>SUMIF('F-65 Cross-walk'!C78:C126,'Data Input'!A17,'F-65 Cross-walk'!G78:G126)</f>
        <v>75264</v>
      </c>
      <c r="F17" s="53">
        <f>SUMIF('F-65 Cross-walk'!C78:C126,'Data Input'!A17,'F-65 Cross-walk'!H78:H126)</f>
        <v>78783</v>
      </c>
      <c r="G17" s="54">
        <f>(HLOOKUP($G$3,$B$3:$F$64,15))/(HLOOKUP($G$3,$B$3:$F$66,64))</f>
        <v>75.718309859154928</v>
      </c>
      <c r="H17" s="54">
        <f>(HLOOKUP($H$3,$B$3:$F$64,15))/(HLOOKUP($H$3,$B$3:$F$66,64))</f>
        <v>79.578787878787878</v>
      </c>
    </row>
    <row r="18" spans="1:8" ht="15" customHeight="1">
      <c r="A18" s="55" t="s">
        <v>62</v>
      </c>
      <c r="B18" s="56">
        <f>SUMIF('F-65 Cross-walk'!C78:C126,'Data Input'!A18,'F-65 Cross-walk'!D78:D126)</f>
        <v>49025</v>
      </c>
      <c r="C18" s="56">
        <f>SUMIF('F-65 Cross-walk'!C78:C126,'Data Input'!A18,'F-65 Cross-walk'!E78:E126)</f>
        <v>61780</v>
      </c>
      <c r="D18" s="56">
        <f>SUMIF('F-65 Cross-walk'!C78:C126,'Data Input'!A18,'F-65 Cross-walk'!F78:F126)</f>
        <v>56111</v>
      </c>
      <c r="E18" s="56">
        <f>SUMIF('F-65 Cross-walk'!C78:C126,'Data Input'!A18,'F-65 Cross-walk'!G78:G126)</f>
        <v>64230</v>
      </c>
      <c r="F18" s="56">
        <f>SUMIF('F-65 Cross-walk'!C78:C126,'Data Input'!A18,'F-65 Cross-walk'!H78:H126)</f>
        <v>69764</v>
      </c>
      <c r="G18" s="54">
        <f>(HLOOKUP($G$3,$B$3:$F$64,16))/(HLOOKUP($G$3,$B$3:$F$66,64))</f>
        <v>64.617706237424542</v>
      </c>
      <c r="H18" s="54">
        <f>(HLOOKUP($H$3,$B$3:$F$64,16))/(HLOOKUP($H$3,$B$3:$F$66,64))</f>
        <v>70.468686868686873</v>
      </c>
    </row>
    <row r="19" spans="1:8" ht="15" customHeight="1">
      <c r="A19" s="55" t="s">
        <v>127</v>
      </c>
      <c r="B19" s="56">
        <f>SUMIF('F-65 Cross-walk'!C78:C126,'Data Input'!A19,'F-65 Cross-walk'!D78:D126)</f>
        <v>4576</v>
      </c>
      <c r="C19" s="56">
        <f>SUMIF('F-65 Cross-walk'!C78:C126,'Data Input'!A19,'F-65 Cross-walk'!E78:E126)</f>
        <v>4532</v>
      </c>
      <c r="D19" s="56">
        <f>SUMIF('F-65 Cross-walk'!C78:C126,'Data Input'!A19,'F-65 Cross-walk'!F78:F126)</f>
        <v>4347</v>
      </c>
      <c r="E19" s="56">
        <f>SUMIF('F-65 Cross-walk'!C78:C126,'Data Input'!A19,'F-65 Cross-walk'!G78:G126)</f>
        <v>4329</v>
      </c>
      <c r="F19" s="56">
        <f>SUMIF('F-65 Cross-walk'!C78:C126,'Data Input'!A19,'F-65 Cross-walk'!H78:H126)</f>
        <v>4793</v>
      </c>
      <c r="G19" s="54">
        <f>(HLOOKUP($G$3,$B$3:$F$64,17))/(HLOOKUP($G$3,$B$3:$F$66,64))</f>
        <v>4.3551307847082494</v>
      </c>
      <c r="H19" s="54">
        <f>(HLOOKUP($H$3,$B$3:$F$64,17))/(HLOOKUP($H$3,$B$3:$F$66,64))</f>
        <v>4.8414141414141412</v>
      </c>
    </row>
    <row r="20" spans="1:8" ht="15" customHeight="1">
      <c r="A20" s="55" t="s">
        <v>180</v>
      </c>
      <c r="B20" s="56">
        <f>SUMIF('F-65 Cross-walk'!C78:C126,'Data Input'!A20,'F-65 Cross-walk'!D78:D126)</f>
        <v>188815</v>
      </c>
      <c r="C20" s="56">
        <f>SUMIF('F-65 Cross-walk'!C78:C126,'Data Input'!A20,'F-65 Cross-walk'!E78:E126)</f>
        <v>193609</v>
      </c>
      <c r="D20" s="56">
        <f>SUMIF('F-65 Cross-walk'!C78:C126,'Data Input'!A20,'F-65 Cross-walk'!F78:F126)</f>
        <v>245930</v>
      </c>
      <c r="E20" s="56">
        <f>SUMIF('F-65 Cross-walk'!C78:C126,'Data Input'!A20,'F-65 Cross-walk'!G78:G126)</f>
        <v>318355</v>
      </c>
      <c r="F20" s="56">
        <f>SUMIF('F-65 Cross-walk'!C78:C126,'Data Input'!A20,'F-65 Cross-walk'!H78:H126)</f>
        <v>172381</v>
      </c>
      <c r="G20" s="54">
        <f>(HLOOKUP($G$3,$B$3:$F$64,18))/(HLOOKUP($G$3,$B$3:$F$66,64))</f>
        <v>320.27665995975855</v>
      </c>
      <c r="H20" s="54">
        <f>(HLOOKUP($H$3,$B$3:$F$64,18))/(HLOOKUP($H$3,$B$3:$F$66,64))</f>
        <v>174.12222222222223</v>
      </c>
    </row>
    <row r="21" spans="1:8" ht="15" customHeight="1">
      <c r="A21" s="55" t="s">
        <v>45</v>
      </c>
      <c r="B21" s="56">
        <f>SUMIF('F-65 Cross-walk'!C78:C126,'Data Input'!A21,'F-65 Cross-walk'!D78:D126)</f>
        <v>76435</v>
      </c>
      <c r="C21" s="56">
        <f>SUMIF('F-65 Cross-walk'!C78:C126,'Data Input'!A21,'F-65 Cross-walk'!E78:E126)</f>
        <v>101969</v>
      </c>
      <c r="D21" s="56">
        <f>SUMIF('F-65 Cross-walk'!C78:C126,'Data Input'!A21,'F-65 Cross-walk'!F78:F126)</f>
        <v>109608</v>
      </c>
      <c r="E21" s="56">
        <f>SUMIF('F-65 Cross-walk'!C78:C126,'Data Input'!A21,'F-65 Cross-walk'!G78:G126)</f>
        <v>115632</v>
      </c>
      <c r="F21" s="56">
        <f>SUMIF('F-65 Cross-walk'!C78:C126,'Data Input'!A21,'F-65 Cross-walk'!H78:H126)</f>
        <v>127943</v>
      </c>
      <c r="G21" s="54">
        <f>(HLOOKUP($G$3,$B$3:$F$64,19))/(HLOOKUP($G$3,$B$3:$F$66,64))</f>
        <v>116.32997987927565</v>
      </c>
      <c r="H21" s="54">
        <f>(HLOOKUP($H$3,$B$3:$F$64,19))/(HLOOKUP($H$3,$B$3:$F$66,64))</f>
        <v>129.23535353535354</v>
      </c>
    </row>
    <row r="22" spans="1:8" ht="15" customHeight="1">
      <c r="A22" s="55" t="s">
        <v>9</v>
      </c>
      <c r="B22" s="56">
        <f>SUMIF('F-65 Cross-walk'!C78:C126,'Data Input'!A22,'F-65 Cross-walk'!D78:D126)</f>
        <v>0</v>
      </c>
      <c r="C22" s="56">
        <f>SUMIF('F-65 Cross-walk'!C78:C126,'Data Input'!A22,'F-65 Cross-walk'!E78:E126)</f>
        <v>0</v>
      </c>
      <c r="D22" s="56">
        <f>SUMIF('F-65 Cross-walk'!C78:C126,'Data Input'!A22,'F-65 Cross-walk'!F78:F126)</f>
        <v>0</v>
      </c>
      <c r="E22" s="56">
        <f>SUMIF('F-65 Cross-walk'!C78:C126,'Data Input'!A22,'F-65 Cross-walk'!G78:G126)</f>
        <v>0</v>
      </c>
      <c r="F22" s="56">
        <f>SUMIF('F-65 Cross-walk'!C78:C126,'Data Input'!A22,'F-65 Cross-walk'!H78:H126)</f>
        <v>0</v>
      </c>
      <c r="G22" s="54">
        <f>(HLOOKUP($G$3,$B$3:$F$64,20))/(HLOOKUP($G$3,$B$3:$F$66,64))</f>
        <v>0</v>
      </c>
      <c r="H22" s="54">
        <f>(HLOOKUP($H$3,$B$3:$F$64,20))/(HLOOKUP($H$3,$B$3:$F$66,64))</f>
        <v>0</v>
      </c>
    </row>
    <row r="23" spans="1:8" ht="15" customHeight="1">
      <c r="A23" s="55" t="s">
        <v>211</v>
      </c>
      <c r="B23" s="56">
        <f>SUMIF('F-65 Cross-walk'!C78:C126,'Data Input'!A23,'F-65 Cross-walk'!D78:D126)</f>
        <v>64204</v>
      </c>
      <c r="C23" s="56">
        <f>SUMIF('F-65 Cross-walk'!C78:C126,'Data Input'!A23,'F-65 Cross-walk'!E78:E126)</f>
        <v>291506</v>
      </c>
      <c r="D23" s="56">
        <f>SUMIF('F-65 Cross-walk'!C78:C126,'Data Input'!A23,'F-65 Cross-walk'!F78:F126)</f>
        <v>7240</v>
      </c>
      <c r="E23" s="56">
        <f>SUMIF('F-65 Cross-walk'!C78:C126,'Data Input'!A23,'F-65 Cross-walk'!G78:G126)</f>
        <v>143063</v>
      </c>
      <c r="F23" s="56">
        <f>SUMIF('F-65 Cross-walk'!C78:C126,'Data Input'!A23,'F-65 Cross-walk'!H78:H126)</f>
        <v>0</v>
      </c>
      <c r="G23" s="54">
        <f>(HLOOKUP($G$3,$B$3:$F$64,21))/(HLOOKUP($G$3,$B$3:$F$66,64))</f>
        <v>143.92655935613683</v>
      </c>
      <c r="H23" s="54">
        <f>(HLOOKUP($H$3,$B$3:$F$64,21))/(HLOOKUP($H$3,$B$3:$F$66,64))</f>
        <v>0</v>
      </c>
    </row>
    <row r="24" spans="1:8" ht="15" customHeight="1">
      <c r="A24" s="55" t="s">
        <v>170</v>
      </c>
      <c r="B24" s="56">
        <f>SUMIF('F-65 Cross-walk'!C78:C126,'Data Input'!A24,'F-65 Cross-walk'!D78:D126)</f>
        <v>34501</v>
      </c>
      <c r="C24" s="56">
        <f>SUMIF('F-65 Cross-walk'!C78:C126,'Data Input'!A24,'F-65 Cross-walk'!E78:E126)</f>
        <v>42797</v>
      </c>
      <c r="D24" s="56">
        <f>SUMIF('F-65 Cross-walk'!C78:C126,'Data Input'!A24,'F-65 Cross-walk'!F78:F126)</f>
        <v>45296</v>
      </c>
      <c r="E24" s="56">
        <f>SUMIF('F-65 Cross-walk'!C78:C126,'Data Input'!A24,'F-65 Cross-walk'!G78:G126)</f>
        <v>43113</v>
      </c>
      <c r="F24" s="56">
        <f>SUMIF('F-65 Cross-walk'!C78:C126,'Data Input'!A24,'F-65 Cross-walk'!H78:H126)</f>
        <v>73392</v>
      </c>
      <c r="G24" s="54">
        <f>(HLOOKUP($G$3,$B$3:$F$64,22))/(HLOOKUP($G$3,$B$3:$F$66,64))</f>
        <v>43.37323943661972</v>
      </c>
      <c r="H24" s="54">
        <f>(HLOOKUP($H$3,$B$3:$F$64,22))/(HLOOKUP($H$3,$B$3:$F$66,64))</f>
        <v>74.13333333333334</v>
      </c>
    </row>
    <row r="25" spans="1:8" ht="15" customHeight="1">
      <c r="A25" s="55" t="s">
        <v>112</v>
      </c>
      <c r="B25" s="56">
        <f>SUMIF('F-65 Cross-walk'!C78:C126,'Data Input'!A25,'F-65 Cross-walk'!D78:D126)</f>
        <v>0</v>
      </c>
      <c r="C25" s="56">
        <f>SUMIF('F-65 Cross-walk'!C78:C126,'Data Input'!A25,'F-65 Cross-walk'!E78:E126)</f>
        <v>5399</v>
      </c>
      <c r="D25" s="56">
        <f>SUMIF('F-65 Cross-walk'!C78:C126,'Data Input'!A25,'F-65 Cross-walk'!F78:F126)</f>
        <v>350</v>
      </c>
      <c r="E25" s="56">
        <f>SUMIF('F-65 Cross-walk'!C78:C126,'Data Input'!A25,'F-65 Cross-walk'!G78:G126)</f>
        <v>1598</v>
      </c>
      <c r="F25" s="56">
        <f>SUMIF('F-65 Cross-walk'!C78:C126,'Data Input'!A25,'F-65 Cross-walk'!H78:H126)</f>
        <v>61066</v>
      </c>
      <c r="G25" s="54">
        <f>(HLOOKUP($G$3,$B$3:$F$64,23))/(HLOOKUP($G$3,$B$3:$F$66,64))</f>
        <v>1.607645875251509</v>
      </c>
      <c r="H25" s="54">
        <f>(HLOOKUP($H$3,$B$3:$F$64,23))/(HLOOKUP($H$3,$B$3:$F$66,64))</f>
        <v>61.682828282828282</v>
      </c>
    </row>
    <row r="26" spans="1:8" ht="15" customHeight="1">
      <c r="A26" s="55" t="s">
        <v>172</v>
      </c>
      <c r="B26" s="56">
        <f>SUMIF('F-65 Cross-walk'!C78:C126,'Data Input'!A26,'F-65 Cross-walk'!D78:D126)</f>
        <v>33846</v>
      </c>
      <c r="C26" s="56">
        <f>SUMIF('F-65 Cross-walk'!C78:C126,'Data Input'!A26,'F-65 Cross-walk'!E78:E126)</f>
        <v>19970</v>
      </c>
      <c r="D26" s="56">
        <f>SUMIF('F-65 Cross-walk'!C78:C126,'Data Input'!A26,'F-65 Cross-walk'!F78:F126)</f>
        <v>19869</v>
      </c>
      <c r="E26" s="56">
        <f>SUMIF('F-65 Cross-walk'!C78:C126,'Data Input'!A26,'F-65 Cross-walk'!G78:G126)</f>
        <v>19284</v>
      </c>
      <c r="F26" s="56">
        <f>SUMIF('F-65 Cross-walk'!C78:C126,'Data Input'!A26,'F-65 Cross-walk'!H78:H126)</f>
        <v>36907</v>
      </c>
      <c r="G26" s="54">
        <f>(HLOOKUP($G$3,$B$3:$F$64,24))/(HLOOKUP($G$3,$B$3:$F$66,64))</f>
        <v>19.400402414486923</v>
      </c>
      <c r="H26" s="54">
        <f>(HLOOKUP($H$3,$B$3:$F$64,24))/(HLOOKUP($H$3,$B$3:$F$66,64))</f>
        <v>37.279797979797976</v>
      </c>
    </row>
    <row r="27" spans="1:8" ht="15" customHeight="1">
      <c r="A27" s="60" t="s">
        <v>130</v>
      </c>
      <c r="B27" s="59">
        <f>SUMIF('F-65 Cross-walk'!C78:C126,'Data Input'!A27,'F-65 Cross-walk'!D78:D126)</f>
        <v>287605</v>
      </c>
      <c r="C27" s="59">
        <f>SUMIF('F-65 Cross-walk'!C78:C126,'Data Input'!A27,'F-65 Cross-walk'!E78:E126)</f>
        <v>291550</v>
      </c>
      <c r="D27" s="59">
        <f>SUMIF('F-65 Cross-walk'!C78:C126,'Data Input'!A27,'F-65 Cross-walk'!F78:F126)</f>
        <v>277934</v>
      </c>
      <c r="E27" s="59">
        <f>SUMIF('F-65 Cross-walk'!C78:C126,'Data Input'!A27,'F-65 Cross-walk'!G78:G126)</f>
        <v>297303</v>
      </c>
      <c r="F27" s="59">
        <f>SUMIF('F-65 Cross-walk'!C78:C126,'Data Input'!A27,'F-65 Cross-walk'!H78:H126)</f>
        <v>285019</v>
      </c>
      <c r="G27" s="54">
        <f>(HLOOKUP($G$3,$B$3:$F$64,25))/(HLOOKUP($G$3,$B$3:$F$66,64))</f>
        <v>299.09758551307846</v>
      </c>
      <c r="H27" s="54">
        <f>(HLOOKUP($H$3,$B$3:$F$64,25))/(HLOOKUP($H$3,$B$3:$F$66,64))</f>
        <v>287.89797979797981</v>
      </c>
    </row>
    <row r="28" spans="1:8" ht="15" customHeight="1">
      <c r="A28" s="40" t="s">
        <v>174</v>
      </c>
      <c r="B28" s="42">
        <f>SUM(B17:B27)</f>
        <v>805560</v>
      </c>
      <c r="C28" s="42">
        <f>SUM(C17:C27)</f>
        <v>1075115</v>
      </c>
      <c r="D28" s="42">
        <f>SUM(D17:D27)</f>
        <v>836776</v>
      </c>
      <c r="E28" s="42">
        <f>SUM(E17:E27)</f>
        <v>1082171</v>
      </c>
      <c r="F28" s="42">
        <f>SUM(F17:F27)</f>
        <v>910048</v>
      </c>
      <c r="G28" s="54">
        <f>(HLOOKUP($G$3,$B$3:$F$64,26))/(HLOOKUP($G$3,$B$3:$F$66,64))</f>
        <v>1088.7032193158955</v>
      </c>
      <c r="H28" s="54">
        <f>(HLOOKUP($H$3,$B$3:$F$64,26))/(HLOOKUP($H$3,$B$3:$F$66,64))</f>
        <v>919.24040404040409</v>
      </c>
    </row>
    <row r="29" spans="1:8" ht="15.75" customHeight="1" thickBot="1">
      <c r="A29" s="41" t="s">
        <v>209</v>
      </c>
      <c r="B29" s="43">
        <f>+B15-B28</f>
        <v>634</v>
      </c>
      <c r="C29" s="43">
        <f>+C15-C28</f>
        <v>35962</v>
      </c>
      <c r="D29" s="43">
        <f>+D15-D28</f>
        <v>23750</v>
      </c>
      <c r="E29" s="43">
        <f>+E15-E28</f>
        <v>-20743</v>
      </c>
      <c r="F29" s="43">
        <f>+F15-F28</f>
        <v>5128</v>
      </c>
      <c r="G29" s="54">
        <f>(HLOOKUP($G$3,$B$3:$F$64,27))/(HLOOKUP($G$3,$B$3:$F$66,64))</f>
        <v>-20.868209255533198</v>
      </c>
      <c r="H29" s="54">
        <f>(HLOOKUP($H$3,$B$3:$F$64,27))/(HLOOKUP($H$3,$B$3:$F$66,64))</f>
        <v>5.1797979797979794</v>
      </c>
    </row>
    <row r="30" spans="1:8" ht="30.75" thickTop="1">
      <c r="A30" s="34" t="s">
        <v>41</v>
      </c>
      <c r="G30" s="54"/>
      <c r="H30" s="54"/>
    </row>
    <row r="31" spans="1:8" ht="15" customHeight="1">
      <c r="A31" s="52" t="s">
        <v>50</v>
      </c>
      <c r="B31" s="53">
        <f>SUMIF('F-65 Cross-walk'!C130:C134,'Data Input'!A31,'F-65 Cross-walk'!D130:D134)</f>
        <v>51853</v>
      </c>
      <c r="C31" s="53">
        <f>SUMIF('F-65 Cross-walk'!C130:C134,'Data Input'!A31,'F-65 Cross-walk'!E130:E134)</f>
        <v>46151</v>
      </c>
      <c r="D31" s="53">
        <f>SUMIF('F-65 Cross-walk'!C130:C134,'Data Input'!A31,'F-65 Cross-walk'!F130:F134)</f>
        <v>44190</v>
      </c>
      <c r="E31" s="53">
        <f>SUMIF('F-65 Cross-walk'!C130:C134,'Data Input'!A31,'F-65 Cross-walk'!G130:G134)</f>
        <v>46086</v>
      </c>
      <c r="F31" s="53">
        <f>SUMIF('F-65 Cross-walk'!C130:C134,'Data Input'!A31,'F-65 Cross-walk'!H130:H134)</f>
        <v>36588</v>
      </c>
      <c r="G31" s="54">
        <f>(HLOOKUP($G$3,$B$3:$F$64,29))/(HLOOKUP($G$3,$B$3:$F$66,64))</f>
        <v>46.364185110663982</v>
      </c>
      <c r="H31" s="54">
        <f>(HLOOKUP($H$3,$B$3:$F$64,29))/(HLOOKUP($H$3,$B$3:$F$66,64))</f>
        <v>36.957575757575761</v>
      </c>
    </row>
    <row r="32" spans="1:8" ht="15" customHeight="1">
      <c r="A32" s="55" t="s">
        <v>129</v>
      </c>
      <c r="B32" s="56">
        <f>SUMIF('F-65 Cross-walk'!C130:C134,'Data Input'!A32,'F-65 Cross-walk'!D130:D134)</f>
        <v>0</v>
      </c>
      <c r="C32" s="56">
        <f>SUMIF('F-65 Cross-walk'!C130:C134,'Data Input'!A32,'F-65 Cross-walk'!E130:E134)</f>
        <v>59768</v>
      </c>
      <c r="D32" s="56">
        <f>SUMIF('F-65 Cross-walk'!C130:C134,'Data Input'!A32,'F-65 Cross-walk'!F130:F134)</f>
        <v>25581</v>
      </c>
      <c r="E32" s="56">
        <f>SUMIF('F-65 Cross-walk'!C130:C134,'Data Input'!A32,'F-65 Cross-walk'!G130:G134)</f>
        <v>677</v>
      </c>
      <c r="F32" s="56">
        <f>SUMIF('F-65 Cross-walk'!C130:C134,'Data Input'!A32,'F-65 Cross-walk'!H130:H134)</f>
        <v>48698</v>
      </c>
      <c r="G32" s="54">
        <f>(HLOOKUP($G$3,$B$3:$F$64,30))/(HLOOKUP($G$3,$B$3:$F$66,64))</f>
        <v>0.68108651911468809</v>
      </c>
      <c r="H32" s="54">
        <f>(HLOOKUP($H$3,$B$3:$F$64,30))/(HLOOKUP($H$3,$B$3:$F$66,64))</f>
        <v>49.189898989898992</v>
      </c>
    </row>
    <row r="33" spans="1:8" ht="15" customHeight="1">
      <c r="A33" s="55" t="s">
        <v>23</v>
      </c>
      <c r="B33" s="56">
        <f>SUMIF('F-65 Cross-walk'!C130:C134,'Data Input'!A33,'F-65 Cross-walk'!D130:D134)</f>
        <v>129580</v>
      </c>
      <c r="C33" s="56">
        <f>SUMIF('F-65 Cross-walk'!C130:C134,'Data Input'!A33,'F-65 Cross-walk'!E130:E134)</f>
        <v>0</v>
      </c>
      <c r="D33" s="56">
        <f>SUMIF('F-65 Cross-walk'!C130:C134,'Data Input'!A33,'F-65 Cross-walk'!F130:F134)</f>
        <v>0</v>
      </c>
      <c r="E33" s="56">
        <f>SUMIF('F-65 Cross-walk'!C130:C134,'Data Input'!A33,'F-65 Cross-walk'!G130:G134)</f>
        <v>0</v>
      </c>
      <c r="F33" s="56">
        <f>SUMIF('F-65 Cross-walk'!C130:C134,'Data Input'!A33,'F-65 Cross-walk'!H130:H134)</f>
        <v>0</v>
      </c>
      <c r="G33" s="54">
        <f>(HLOOKUP($G$3,$B$3:$F$64,31))/(HLOOKUP($G$3,$B$3:$F$66,64))</f>
        <v>0</v>
      </c>
      <c r="H33" s="54">
        <f>(HLOOKUP($H$3,$B$3:$F$64,31))/(HLOOKUP($H$3,$B$3:$F$66,64))</f>
        <v>0</v>
      </c>
    </row>
    <row r="34" spans="1:8" ht="15" customHeight="1">
      <c r="A34" s="55" t="s">
        <v>138</v>
      </c>
      <c r="B34" s="56">
        <f>SUMIF('F-65 Cross-walk'!C130:C134,'Data Input'!A34,'F-65 Cross-walk'!D130:D134)</f>
        <v>79816</v>
      </c>
      <c r="C34" s="56">
        <f>SUMIF('F-65 Cross-walk'!C130:C134,'Data Input'!A34,'F-65 Cross-walk'!E130:E134)</f>
        <v>0</v>
      </c>
      <c r="D34" s="56">
        <f>SUMIF('F-65 Cross-walk'!C130:C134,'Data Input'!A34,'F-65 Cross-walk'!F130:F134)</f>
        <v>0</v>
      </c>
      <c r="E34" s="56">
        <f>SUMIF('F-65 Cross-walk'!C130:C134,'Data Input'!A34,'F-65 Cross-walk'!G130:G134)</f>
        <v>0</v>
      </c>
      <c r="F34" s="56">
        <f>SUMIF('F-65 Cross-walk'!C130:C134,'Data Input'!A34,'F-65 Cross-walk'!H130:H134)</f>
        <v>0</v>
      </c>
      <c r="G34" s="54">
        <f>(HLOOKUP($G$3,$B$3:$F$64,32))/(HLOOKUP($G$3,$B$3:$F$66,64))</f>
        <v>0</v>
      </c>
      <c r="H34" s="54">
        <f>(HLOOKUP($H$3,$B$3:$F$64,32))/(HLOOKUP($H$3,$B$3:$F$66,64))</f>
        <v>0</v>
      </c>
    </row>
    <row r="35" spans="1:8" ht="15" customHeight="1">
      <c r="A35" s="60" t="s">
        <v>203</v>
      </c>
      <c r="B35" s="59">
        <f>SUMIF('F-65 Cross-walk'!C130:C134,'Data Input'!A35,'F-65 Cross-walk'!D130:D134)</f>
        <v>49764</v>
      </c>
      <c r="C35" s="59">
        <f>SUMIF('F-65 Cross-walk'!C130:C134,'Data Input'!A35,'F-65 Cross-walk'!E130:E134)</f>
        <v>30056</v>
      </c>
      <c r="D35" s="59">
        <f>SUMIF('F-65 Cross-walk'!C130:C134,'Data Input'!A35,'F-65 Cross-walk'!F130:F134)</f>
        <v>89954</v>
      </c>
      <c r="E35" s="59">
        <f>SUMIF('F-65 Cross-walk'!C130:C134,'Data Input'!A35,'F-65 Cross-walk'!G130:G134)</f>
        <v>92219</v>
      </c>
      <c r="F35" s="59">
        <f>SUMIF('F-65 Cross-walk'!C130:C134,'Data Input'!A35,'F-65 Cross-walk'!H130:H134)</f>
        <v>58824</v>
      </c>
      <c r="G35" s="54">
        <f>(HLOOKUP($G$3,$B$3:$F$64,33))/(HLOOKUP($G$3,$B$3:$F$66,64))</f>
        <v>92.775653923541242</v>
      </c>
      <c r="H35" s="54">
        <f>(HLOOKUP($H$3,$B$3:$F$64,33))/(HLOOKUP($H$3,$B$3:$F$66,64))</f>
        <v>59.418181818181822</v>
      </c>
    </row>
    <row r="36" spans="1:8" ht="15.75" customHeight="1" thickBot="1">
      <c r="A36" s="45" t="s">
        <v>181</v>
      </c>
      <c r="B36" s="43">
        <f>SUM(B31:B35)</f>
        <v>311013</v>
      </c>
      <c r="C36" s="43">
        <f>SUM(C31:C35)</f>
        <v>135975</v>
      </c>
      <c r="D36" s="43">
        <f>SUM(D31:D35)</f>
        <v>159725</v>
      </c>
      <c r="E36" s="43">
        <f>SUM(E31:E35)</f>
        <v>138982</v>
      </c>
      <c r="F36" s="43">
        <f>SUM(F31:F35)</f>
        <v>144110</v>
      </c>
      <c r="G36" s="54">
        <f>(HLOOKUP($G$3,$B$3:$F$64,34))/(HLOOKUP($G$3,$B$3:$F$66,64))</f>
        <v>139.82092555331991</v>
      </c>
      <c r="H36" s="54">
        <f>(HLOOKUP($H$3,$B$3:$F$64,34))/(HLOOKUP($H$3,$B$3:$F$66,64))</f>
        <v>145.56565656565655</v>
      </c>
    </row>
    <row r="37" spans="1:8" ht="30.75" thickTop="1">
      <c r="A37" s="34" t="s">
        <v>46</v>
      </c>
      <c r="B37" s="21"/>
      <c r="C37" s="21"/>
      <c r="D37" s="21"/>
      <c r="E37" s="21"/>
      <c r="F37" s="21"/>
      <c r="G37" s="54"/>
      <c r="H37" s="54"/>
    </row>
    <row r="38" spans="1:8" ht="17.25" customHeight="1">
      <c r="A38" s="38" t="s">
        <v>101</v>
      </c>
      <c r="G38" s="54"/>
      <c r="H38" s="54"/>
    </row>
    <row r="39" spans="1:8" ht="17.25" customHeight="1">
      <c r="A39" s="50" t="s">
        <v>36</v>
      </c>
      <c r="B39" s="44">
        <v>40543</v>
      </c>
      <c r="C39" s="44">
        <v>40908</v>
      </c>
      <c r="D39" s="44">
        <v>41274</v>
      </c>
      <c r="E39" s="44">
        <v>41639</v>
      </c>
      <c r="F39" s="44">
        <v>42004</v>
      </c>
      <c r="G39" s="54"/>
      <c r="H39" s="54"/>
    </row>
    <row r="40" spans="1:8" ht="15" customHeight="1">
      <c r="A40" s="52" t="s">
        <v>103</v>
      </c>
      <c r="B40" s="61">
        <v>701518</v>
      </c>
      <c r="C40" s="61">
        <v>709642</v>
      </c>
      <c r="D40" s="61">
        <v>703559</v>
      </c>
      <c r="E40" s="61">
        <v>698585</v>
      </c>
      <c r="F40" s="61">
        <v>704531</v>
      </c>
      <c r="G40" s="54"/>
      <c r="H40" s="54"/>
    </row>
    <row r="41" spans="1:8" ht="15" customHeight="1">
      <c r="A41" s="55" t="s">
        <v>165</v>
      </c>
      <c r="B41" s="62">
        <v>1003854</v>
      </c>
      <c r="C41" s="62">
        <v>1060648</v>
      </c>
      <c r="D41" s="62">
        <v>1086732</v>
      </c>
      <c r="E41" s="62">
        <v>1143227</v>
      </c>
      <c r="F41" s="62">
        <v>1172930</v>
      </c>
      <c r="G41" s="54"/>
      <c r="H41" s="54"/>
    </row>
    <row r="42" spans="1:8" ht="15" customHeight="1">
      <c r="A42" s="63" t="s">
        <v>31</v>
      </c>
      <c r="B42" s="56">
        <f>B41-B40</f>
        <v>302336</v>
      </c>
      <c r="C42" s="56">
        <f>C41-C40</f>
        <v>351006</v>
      </c>
      <c r="D42" s="56">
        <f>D41-D40</f>
        <v>383173</v>
      </c>
      <c r="E42" s="56">
        <f>E41-E40</f>
        <v>444642</v>
      </c>
      <c r="F42" s="56">
        <f>F41-F40</f>
        <v>468399</v>
      </c>
      <c r="G42" s="54">
        <f>(HLOOKUP($G$3,$B$3:$F$64,40))/(HLOOKUP($G$3,$B$3:$F$66,64))</f>
        <v>447.32595573440642</v>
      </c>
      <c r="H42" s="54">
        <f>(HLOOKUP($H$3,$B$3:$F$64,40))/(HLOOKUP($H$3,$B$3:$F$66,64))</f>
        <v>473.13030303030303</v>
      </c>
    </row>
    <row r="43" spans="1:8" ht="15" customHeight="1">
      <c r="A43" s="64" t="s">
        <v>204</v>
      </c>
      <c r="B43" s="65">
        <f>B40/B41</f>
        <v>0.69882472949253571</v>
      </c>
      <c r="C43" s="65">
        <f>C40/C41</f>
        <v>0.6690645718466447</v>
      </c>
      <c r="D43" s="65">
        <f>D40/D41</f>
        <v>0.64740800859825609</v>
      </c>
      <c r="E43" s="65">
        <f>E40/E41</f>
        <v>0.61106411937436744</v>
      </c>
      <c r="F43" s="65">
        <f>F40/F41</f>
        <v>0.60065903336089965</v>
      </c>
      <c r="G43" s="54"/>
      <c r="H43" s="54"/>
    </row>
    <row r="44" spans="1:8" ht="15" customHeight="1">
      <c r="A44" s="38" t="s">
        <v>191</v>
      </c>
      <c r="G44" s="54"/>
      <c r="H44" s="54"/>
    </row>
    <row r="45" spans="1:8" ht="17.25" customHeight="1">
      <c r="A45" s="50" t="s">
        <v>36</v>
      </c>
      <c r="B45" s="44">
        <v>40543</v>
      </c>
      <c r="C45" s="44">
        <v>40908</v>
      </c>
      <c r="D45" s="44">
        <v>41274</v>
      </c>
      <c r="E45" s="44">
        <v>41639</v>
      </c>
      <c r="F45" s="44">
        <v>42004</v>
      </c>
      <c r="G45" s="54"/>
      <c r="H45" s="54"/>
    </row>
    <row r="46" spans="1:8" ht="15" customHeight="1">
      <c r="A46" s="52" t="s">
        <v>103</v>
      </c>
      <c r="B46" s="61"/>
      <c r="C46" s="61"/>
      <c r="D46" s="61"/>
      <c r="E46" s="61"/>
      <c r="F46" s="61"/>
      <c r="G46" s="54"/>
      <c r="H46" s="54"/>
    </row>
    <row r="47" spans="1:8" ht="15" customHeight="1">
      <c r="A47" s="55" t="s">
        <v>165</v>
      </c>
      <c r="B47" s="62"/>
      <c r="C47" s="62"/>
      <c r="D47" s="62"/>
      <c r="E47" s="62"/>
      <c r="F47" s="62"/>
      <c r="G47" s="54"/>
      <c r="H47" s="54"/>
    </row>
    <row r="48" spans="1:8" ht="15" customHeight="1">
      <c r="A48" s="63" t="s">
        <v>72</v>
      </c>
      <c r="B48" s="56">
        <f>+B47-B46</f>
        <v>0</v>
      </c>
      <c r="C48" s="56">
        <f>+C47-C46</f>
        <v>0</v>
      </c>
      <c r="D48" s="56">
        <f>+D47-D46</f>
        <v>0</v>
      </c>
      <c r="E48" s="56">
        <f>+E47-E46</f>
        <v>0</v>
      </c>
      <c r="F48" s="56">
        <f>+F47-F46</f>
        <v>0</v>
      </c>
      <c r="G48" s="54">
        <f>(HLOOKUP($G$3,$B$3:$F$64,46))/(HLOOKUP($G$3,$B$3:$F$66,64))</f>
        <v>0</v>
      </c>
      <c r="H48" s="54">
        <f>(HLOOKUP($H$3,$B$3:$F$64,46))/(HLOOKUP($H$3,$B$3:$F$66,64))</f>
        <v>0</v>
      </c>
    </row>
    <row r="49" spans="1:8" ht="15" customHeight="1">
      <c r="A49" s="64" t="s">
        <v>204</v>
      </c>
      <c r="B49" s="65" t="e">
        <f>+B46/B47</f>
        <v>#DIV/0!</v>
      </c>
      <c r="C49" s="65" t="e">
        <f>+C46/C47</f>
        <v>#DIV/0!</v>
      </c>
      <c r="D49" s="65" t="e">
        <f>+D46/D47</f>
        <v>#DIV/0!</v>
      </c>
      <c r="E49" s="65" t="e">
        <f>+E46/E47</f>
        <v>#DIV/0!</v>
      </c>
      <c r="F49" s="65" t="e">
        <f>+F46/F47</f>
        <v>#DIV/0!</v>
      </c>
      <c r="G49" s="54"/>
      <c r="H49" s="54"/>
    </row>
    <row r="50" spans="1:8" ht="15" customHeight="1">
      <c r="A50" s="51" t="s">
        <v>124</v>
      </c>
      <c r="G50" s="54"/>
      <c r="H50" s="54"/>
    </row>
    <row r="51" spans="1:8" ht="15" customHeight="1">
      <c r="A51" s="52" t="s">
        <v>103</v>
      </c>
      <c r="B51" s="53">
        <f t="shared" ref="B51:F52" si="0">+B40+B46</f>
        <v>701518</v>
      </c>
      <c r="C51" s="53">
        <f t="shared" si="0"/>
        <v>709642</v>
      </c>
      <c r="D51" s="53">
        <f t="shared" si="0"/>
        <v>703559</v>
      </c>
      <c r="E51" s="53">
        <f t="shared" si="0"/>
        <v>698585</v>
      </c>
      <c r="F51" s="53">
        <f t="shared" si="0"/>
        <v>704531</v>
      </c>
      <c r="G51" s="54"/>
      <c r="H51" s="54"/>
    </row>
    <row r="52" spans="1:8" ht="15" customHeight="1">
      <c r="A52" s="55" t="s">
        <v>165</v>
      </c>
      <c r="B52" s="53">
        <f t="shared" si="0"/>
        <v>1003854</v>
      </c>
      <c r="C52" s="53">
        <f t="shared" si="0"/>
        <v>1060648</v>
      </c>
      <c r="D52" s="53">
        <f t="shared" si="0"/>
        <v>1086732</v>
      </c>
      <c r="E52" s="53">
        <f t="shared" si="0"/>
        <v>1143227</v>
      </c>
      <c r="F52" s="53">
        <f t="shared" si="0"/>
        <v>1172930</v>
      </c>
      <c r="G52" s="54"/>
      <c r="H52" s="54"/>
    </row>
    <row r="53" spans="1:8" ht="15" customHeight="1">
      <c r="A53" s="63" t="s">
        <v>72</v>
      </c>
      <c r="B53" s="53">
        <f>+B52-B51</f>
        <v>302336</v>
      </c>
      <c r="C53" s="53">
        <f>+C52-C51</f>
        <v>351006</v>
      </c>
      <c r="D53" s="53">
        <f>+D52-D51</f>
        <v>383173</v>
      </c>
      <c r="E53" s="53">
        <f>+E52-E51</f>
        <v>444642</v>
      </c>
      <c r="F53" s="53">
        <f>+F52-F51</f>
        <v>468399</v>
      </c>
      <c r="G53" s="54">
        <f>(HLOOKUP($G$3,$B$3:$F$64,51))/(HLOOKUP($G$3,$B$3:$F$66,64))</f>
        <v>447.32595573440642</v>
      </c>
      <c r="H53" s="54">
        <f>(HLOOKUP($H$3,$B$3:$F$64,51))/(HLOOKUP($H$3,$B$3:$F$66,64))</f>
        <v>473.13030303030303</v>
      </c>
    </row>
    <row r="54" spans="1:8" ht="15" customHeight="1" thickBot="1">
      <c r="A54" s="66" t="s">
        <v>204</v>
      </c>
      <c r="B54" s="67">
        <f>+B51/B52</f>
        <v>0.69882472949253571</v>
      </c>
      <c r="C54" s="67">
        <f>+C51/C52</f>
        <v>0.6690645718466447</v>
      </c>
      <c r="D54" s="67">
        <f>+D51/D52</f>
        <v>0.64740800859825609</v>
      </c>
      <c r="E54" s="67">
        <f>+E51/E52</f>
        <v>0.61106411937436744</v>
      </c>
      <c r="F54" s="67">
        <f>+F51/F52</f>
        <v>0.60065903336089965</v>
      </c>
      <c r="G54" s="54"/>
      <c r="H54" s="54"/>
    </row>
    <row r="55" spans="1:8" ht="15" customHeight="1" thickTop="1">
      <c r="A55" s="38" t="s">
        <v>125</v>
      </c>
      <c r="G55" s="54"/>
      <c r="H55" s="54"/>
    </row>
    <row r="56" spans="1:8" ht="15" customHeight="1">
      <c r="A56" s="52" t="s">
        <v>97</v>
      </c>
      <c r="B56" s="61">
        <v>930000</v>
      </c>
      <c r="C56" s="61">
        <v>895000</v>
      </c>
      <c r="D56" s="61">
        <v>860000</v>
      </c>
      <c r="E56" s="61">
        <v>825000</v>
      </c>
      <c r="F56" s="61">
        <v>858020</v>
      </c>
      <c r="G56" s="54"/>
      <c r="H56" s="54"/>
    </row>
    <row r="57" spans="1:8" ht="15" customHeight="1">
      <c r="A57" s="55" t="s">
        <v>200</v>
      </c>
      <c r="B57" s="62"/>
      <c r="C57" s="62"/>
      <c r="D57" s="62"/>
      <c r="E57" s="62"/>
      <c r="F57" s="62"/>
      <c r="G57" s="54"/>
      <c r="H57" s="54"/>
    </row>
    <row r="58" spans="1:8" ht="15" customHeight="1">
      <c r="A58" s="58" t="s">
        <v>52</v>
      </c>
      <c r="B58" s="68"/>
      <c r="C58" s="68"/>
      <c r="D58" s="68"/>
      <c r="E58" s="68"/>
      <c r="F58" s="68"/>
      <c r="G58" s="54"/>
      <c r="H58" s="54"/>
    </row>
    <row r="59" spans="1:8" ht="15" customHeight="1">
      <c r="A59" s="70" t="s">
        <v>128</v>
      </c>
      <c r="B59" s="71">
        <f>SUM(B55:B58)</f>
        <v>930000</v>
      </c>
      <c r="C59" s="71">
        <f>SUM(C55:C58)</f>
        <v>895000</v>
      </c>
      <c r="D59" s="71">
        <f>SUM(D55:D58)</f>
        <v>860000</v>
      </c>
      <c r="E59" s="71">
        <f>SUM(E55:E58)</f>
        <v>825000</v>
      </c>
      <c r="F59" s="71">
        <f>SUM(F55:F58)</f>
        <v>858020</v>
      </c>
      <c r="G59" s="54">
        <f>(HLOOKUP($G$3,$B$3:$F$64,57))/(HLOOKUP($G$3,$B$3:$F$66,64))</f>
        <v>829.97987927565396</v>
      </c>
      <c r="H59" s="54">
        <f>(HLOOKUP($H$3,$B$3:$F$64,57))/(HLOOKUP($H$3,$B$3:$F$66,64))</f>
        <v>866.68686868686871</v>
      </c>
    </row>
    <row r="60" spans="1:8" ht="15" customHeight="1">
      <c r="A60" s="55" t="s">
        <v>96</v>
      </c>
      <c r="B60" s="62">
        <v>28872</v>
      </c>
      <c r="C60" s="62">
        <v>32718</v>
      </c>
      <c r="D60" s="62">
        <v>16389</v>
      </c>
      <c r="E60" s="62">
        <v>0</v>
      </c>
      <c r="F60" s="62">
        <v>10202</v>
      </c>
      <c r="G60" s="54">
        <f>(HLOOKUP($G$3,$B$3:$F$64,58))/(HLOOKUP($G$3,$B$3:$F$66,64))</f>
        <v>0</v>
      </c>
      <c r="H60" s="54">
        <f>(HLOOKUP($H$3,$B$3:$F$64,58))/(HLOOKUP($H$3,$B$3:$F$66,64))</f>
        <v>10.305050505050506</v>
      </c>
    </row>
    <row r="61" spans="1:8" ht="15" customHeight="1">
      <c r="A61" s="55" t="s">
        <v>13</v>
      </c>
      <c r="B61" s="62"/>
      <c r="C61" s="62"/>
      <c r="D61" s="62"/>
      <c r="E61" s="62"/>
      <c r="F61" s="62"/>
      <c r="G61" s="54">
        <f>(HLOOKUP($G$3,$B$3:$F$64,59))/(HLOOKUP($G$3,$B$3:$F$66,64))</f>
        <v>0</v>
      </c>
      <c r="H61" s="54">
        <f>(HLOOKUP($H$3,$B$3:$F$64,59))/(HLOOKUP($H$3,$B$3:$F$66,64))</f>
        <v>0</v>
      </c>
    </row>
    <row r="62" spans="1:8" ht="15" customHeight="1">
      <c r="A62" s="72" t="s">
        <v>79</v>
      </c>
      <c r="B62" s="62"/>
      <c r="C62" s="62"/>
      <c r="D62" s="62"/>
      <c r="E62" s="62"/>
      <c r="F62" s="62"/>
      <c r="G62" s="54">
        <f>(HLOOKUP($G$3,$B$3:$F$64,60))/(HLOOKUP($G$3,$B$3:$F$66,64))</f>
        <v>0</v>
      </c>
      <c r="H62" s="54">
        <f>(HLOOKUP($H$3,$B$3:$F$64,60))/(HLOOKUP($H$3,$B$3:$F$66,64))</f>
        <v>0</v>
      </c>
    </row>
    <row r="63" spans="1:8" ht="15" customHeight="1">
      <c r="A63" s="73" t="s">
        <v>196</v>
      </c>
      <c r="B63" s="68"/>
      <c r="C63" s="68"/>
      <c r="D63" s="68"/>
      <c r="E63" s="68"/>
      <c r="F63" s="68"/>
      <c r="G63" s="54">
        <f>(HLOOKUP($G$3,$B$3:$F$64,61))/(HLOOKUP($G$3,$B$3:$F$66,64))</f>
        <v>0</v>
      </c>
      <c r="H63" s="54">
        <f>(HLOOKUP($H$3,$B$3:$F$64,61))/(HLOOKUP($H$3,$B$3:$F$66,64))</f>
        <v>0</v>
      </c>
    </row>
    <row r="64" spans="1:8" ht="15.75" customHeight="1" thickBot="1">
      <c r="A64" s="41" t="s">
        <v>197</v>
      </c>
      <c r="B64" s="43">
        <f>SUM(B59:B63)</f>
        <v>958872</v>
      </c>
      <c r="C64" s="43">
        <f>SUM(C59:C63)</f>
        <v>927718</v>
      </c>
      <c r="D64" s="43">
        <f>SUM(D59:D63)</f>
        <v>876389</v>
      </c>
      <c r="E64" s="43">
        <f>SUM(E59:E63)</f>
        <v>825000</v>
      </c>
      <c r="F64" s="43">
        <f>SUM(F59:F63)</f>
        <v>868222</v>
      </c>
      <c r="G64" s="54">
        <f>(HLOOKUP($G$3,$B$3:$F$64,62))/(HLOOKUP($G$3,$B$3:$F$66,64))</f>
        <v>829.97987927565396</v>
      </c>
      <c r="H64" s="54">
        <f>(HLOOKUP($H$3,$B$3:$F$64,62))/(HLOOKUP($H$3,$B$3:$F$66,64))</f>
        <v>876.99191919191924</v>
      </c>
    </row>
    <row r="65" spans="1:6" ht="15.75" customHeight="1" thickTop="1"/>
    <row r="66" spans="1:6" ht="15" customHeight="1">
      <c r="A66" s="47" t="s">
        <v>118</v>
      </c>
      <c r="B66" s="48">
        <v>1008</v>
      </c>
      <c r="C66" s="48">
        <v>1003</v>
      </c>
      <c r="D66" s="48">
        <v>996</v>
      </c>
      <c r="E66" s="48">
        <v>994</v>
      </c>
      <c r="F66" s="46">
        <v>990</v>
      </c>
    </row>
    <row r="68" spans="1:6" ht="15" customHeight="1">
      <c r="A68" s="35" t="s">
        <v>137</v>
      </c>
    </row>
    <row r="69" spans="1:6" ht="15" customHeight="1">
      <c r="A69" s="39" t="s">
        <v>51</v>
      </c>
      <c r="B69" s="139" t="s">
        <v>214</v>
      </c>
    </row>
    <row r="70" spans="1:6" ht="15" customHeight="1">
      <c r="A70" s="39" t="s">
        <v>139</v>
      </c>
      <c r="B70" s="139" t="s">
        <v>213</v>
      </c>
    </row>
    <row r="72" spans="1:6" ht="15" customHeight="1">
      <c r="A72" s="32" t="s">
        <v>163</v>
      </c>
    </row>
    <row r="73" spans="1:6" ht="15" customHeight="1">
      <c r="A73" s="32" t="s">
        <v>156</v>
      </c>
    </row>
    <row r="77" spans="1:6" ht="17.25" customHeight="1">
      <c r="B77" s="18"/>
      <c r="C77" s="18"/>
      <c r="D77" s="18"/>
      <c r="E77" s="18"/>
      <c r="F77" s="18"/>
    </row>
  </sheetData>
  <sheetProtection sheet="1"/>
  <mergeCells count="1">
    <mergeCell ref="A1:H1"/>
  </mergeCells>
  <conditionalFormatting sqref="B39:F41 B45:F47 B56:F58 B60:F63 A1:H1">
    <cfRule type="expression" dxfId="6" priority="1" stopIfTrue="1">
      <formula>LEN(TRIM(A1))=0</formula>
    </cfRule>
  </conditionalFormatting>
  <conditionalFormatting sqref="E66:F66">
    <cfRule type="expression" dxfId="5" priority="2" stopIfTrue="1">
      <formula>LEN(TRIM(E66))=0</formula>
    </cfRule>
  </conditionalFormatting>
  <conditionalFormatting sqref="B69:B70">
    <cfRule type="expression" dxfId="4" priority="3" stopIfTrue="1">
      <formula>LEN(TRIM(B69))=0</formula>
    </cfRule>
  </conditionalFormatting>
  <conditionalFormatting sqref="D66">
    <cfRule type="expression" dxfId="3" priority="4" stopIfTrue="1">
      <formula>LEN(TRIM(D66))=0</formula>
    </cfRule>
  </conditionalFormatting>
  <conditionalFormatting sqref="C66">
    <cfRule type="expression" dxfId="2" priority="5" stopIfTrue="1">
      <formula>LEN(TRIM(C66))=0</formula>
    </cfRule>
  </conditionalFormatting>
  <conditionalFormatting sqref="B66">
    <cfRule type="expression" dxfId="1" priority="6" stopIfTrue="1">
      <formula>LEN(TRIM(B66))=0</formula>
    </cfRule>
  </conditionalFormatting>
  <printOptions horizontalCentered="1"/>
  <pageMargins left="0.2" right="0.2" top="0.5" bottom="0.5" header="0.25" footer="0.25"/>
  <pageSetup fitToHeight="5" orientation="landscape"/>
  <headerFooter alignWithMargins="0">
    <oddFooter>&amp;L&amp;"Calibri,Bold"CITIZEN'S GUIDE TO LOCAL UNIT FINANCES&amp;R&amp;"Calibri,Bold"&amp;A - &amp;P</oddFooter>
  </headerFooter>
  <rowBreaks count="2" manualBreakCount="2">
    <brk id="29" max="7" man="1"/>
    <brk id="54" max="7" man="1"/>
  </rowBreaks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42"/>
  <sheetViews>
    <sheetView zoomScale="85" zoomScaleNormal="85" workbookViewId="0">
      <selection activeCell="T33" sqref="T33"/>
    </sheetView>
  </sheetViews>
  <sheetFormatPr defaultColWidth="13" defaultRowHeight="15" customHeight="1"/>
  <cols>
    <col min="1" max="1" width="13" style="14" customWidth="1"/>
    <col min="2" max="4" width="13.7109375" style="14" customWidth="1"/>
    <col min="5" max="6" width="5.42578125" style="14" customWidth="1"/>
    <col min="7" max="8" width="2.85546875" style="14" customWidth="1"/>
    <col min="9" max="9" width="21.42578125" style="14" customWidth="1"/>
    <col min="10" max="11" width="17.42578125" style="14" customWidth="1"/>
    <col min="12" max="12" width="8.85546875" style="14" customWidth="1"/>
    <col min="13" max="14" width="2.85546875" style="14" customWidth="1"/>
    <col min="15" max="16384" width="13" style="14"/>
  </cols>
  <sheetData>
    <row r="1" spans="1:14" ht="15" customHeight="1">
      <c r="A1" s="150" t="str">
        <f>'Data Input'!A1:H1</f>
        <v>CITIZENS' GUIDE TO LOCAL UNIT FINANCES - Lake Linden - Houghton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5" customHeight="1">
      <c r="A2" s="14" t="s">
        <v>115</v>
      </c>
      <c r="G2" s="14" t="s">
        <v>173</v>
      </c>
    </row>
    <row r="3" spans="1:14" ht="15" customHeight="1">
      <c r="A3" s="79"/>
      <c r="B3" s="80"/>
      <c r="C3" s="80"/>
      <c r="D3" s="80"/>
      <c r="E3" s="81"/>
      <c r="G3" s="23"/>
      <c r="H3" s="75"/>
      <c r="I3" s="75"/>
      <c r="J3" s="75"/>
      <c r="K3" s="75"/>
      <c r="L3" s="75"/>
      <c r="M3" s="24"/>
      <c r="N3" s="25"/>
    </row>
    <row r="4" spans="1:14" ht="15" customHeight="1">
      <c r="A4" s="82"/>
      <c r="E4" s="83"/>
      <c r="G4" s="26"/>
      <c r="N4" s="27"/>
    </row>
    <row r="5" spans="1:14" ht="19.5" customHeight="1">
      <c r="A5" s="82"/>
      <c r="C5" s="74"/>
      <c r="E5" s="83"/>
      <c r="G5" s="26"/>
      <c r="I5" s="76"/>
      <c r="J5" s="77">
        <f>K5-1</f>
        <v>2014</v>
      </c>
      <c r="K5" s="77">
        <f>IF('Data Input'!F15&lt;&gt;0,'Data Input'!F3,IF('Data Input'!E15&lt;&gt;0,'Data Input'!E3,IF('Data Input'!D15&lt;&gt;0,'Data Input'!D3,'Data Input'!C3)))</f>
        <v>2015</v>
      </c>
      <c r="L5" s="78" t="s">
        <v>12</v>
      </c>
      <c r="N5" s="27"/>
    </row>
    <row r="6" spans="1:14" ht="15" customHeight="1">
      <c r="A6" s="82"/>
      <c r="E6" s="83"/>
      <c r="G6" s="26"/>
      <c r="I6" s="106" t="str">
        <f>'Data Input'!A6</f>
        <v>Taxes</v>
      </c>
      <c r="J6" s="107">
        <f>HLOOKUP(J5,'Data Input'!B3:F15,4)</f>
        <v>187087</v>
      </c>
      <c r="K6" s="107">
        <f>HLOOKUP(K5,'Data Input'!B3:F15,4)</f>
        <v>177084</v>
      </c>
      <c r="L6" s="108">
        <f t="shared" ref="L6:L15" si="0">IF(J6=0,"N/A",(K6-J6)/J6)</f>
        <v>-5.3467103540064245E-2</v>
      </c>
      <c r="N6" s="27"/>
    </row>
    <row r="7" spans="1:14" ht="15" customHeight="1">
      <c r="A7" s="82"/>
      <c r="E7" s="83"/>
      <c r="G7" s="26"/>
      <c r="I7" s="57" t="str">
        <f>'Data Input'!A7</f>
        <v>Licenses &amp; Permits</v>
      </c>
      <c r="J7" s="107">
        <f>HLOOKUP(J5,'Data Input'!B3:F15,5)</f>
        <v>16982</v>
      </c>
      <c r="K7" s="107">
        <f>HLOOKUP(K5,'Data Input'!B3:F15,5)</f>
        <v>17149</v>
      </c>
      <c r="L7" s="109">
        <f t="shared" si="0"/>
        <v>9.8339418207513841E-3</v>
      </c>
      <c r="N7" s="27"/>
    </row>
    <row r="8" spans="1:14" ht="15" customHeight="1">
      <c r="A8" s="82"/>
      <c r="E8" s="83"/>
      <c r="G8" s="26"/>
      <c r="I8" s="57" t="str">
        <f>'Data Input'!A8</f>
        <v>Federal Government</v>
      </c>
      <c r="J8" s="107">
        <f>HLOOKUP(J5,'Data Input'!B3:F15,6)</f>
        <v>150242</v>
      </c>
      <c r="K8" s="107">
        <f>HLOOKUP(K5,'Data Input'!B3:F15,6)</f>
        <v>21999</v>
      </c>
      <c r="L8" s="109">
        <f t="shared" si="0"/>
        <v>-0.85357623034837127</v>
      </c>
      <c r="N8" s="27"/>
    </row>
    <row r="9" spans="1:14" ht="15" customHeight="1">
      <c r="A9" s="82"/>
      <c r="E9" s="83"/>
      <c r="G9" s="26"/>
      <c r="I9" s="57" t="str">
        <f>'Data Input'!A9</f>
        <v>State Government</v>
      </c>
      <c r="J9" s="107">
        <f>HLOOKUP(J5,'Data Input'!B3:F15,7)</f>
        <v>276490</v>
      </c>
      <c r="K9" s="107">
        <f>HLOOKUP(K5,'Data Input'!B3:F15,7)</f>
        <v>304793</v>
      </c>
      <c r="L9" s="110">
        <f t="shared" si="0"/>
        <v>0.10236536583601577</v>
      </c>
      <c r="N9" s="27"/>
    </row>
    <row r="10" spans="1:14" ht="15" customHeight="1">
      <c r="A10" s="82"/>
      <c r="E10" s="83"/>
      <c r="G10" s="26"/>
      <c r="I10" s="57" t="str">
        <f>'Data Input'!A10</f>
        <v>Local Contributions</v>
      </c>
      <c r="J10" s="107">
        <f>HLOOKUP(J5,'Data Input'!B3:F15,8)</f>
        <v>0</v>
      </c>
      <c r="K10" s="107">
        <f>HLOOKUP(K5,'Data Input'!B3:F15,8)</f>
        <v>13442</v>
      </c>
      <c r="L10" s="110" t="str">
        <f t="shared" si="0"/>
        <v>N/A</v>
      </c>
      <c r="N10" s="27"/>
    </row>
    <row r="11" spans="1:14" ht="15" customHeight="1">
      <c r="A11" s="82"/>
      <c r="E11" s="83"/>
      <c r="G11" s="26"/>
      <c r="I11" s="57" t="str">
        <f>'Data Input'!A11</f>
        <v>Charges for Services</v>
      </c>
      <c r="J11" s="107">
        <f>HLOOKUP(J5,'Data Input'!B3:F15,9)</f>
        <v>36013</v>
      </c>
      <c r="K11" s="107">
        <f>HLOOKUP(K5,'Data Input'!B3:F15,9)</f>
        <v>33477</v>
      </c>
      <c r="L11" s="110">
        <f t="shared" si="0"/>
        <v>-7.041901535556605E-2</v>
      </c>
      <c r="N11" s="27"/>
    </row>
    <row r="12" spans="1:14" ht="15" customHeight="1">
      <c r="A12" s="82"/>
      <c r="E12" s="83"/>
      <c r="G12" s="26"/>
      <c r="I12" s="57" t="str">
        <f>'Data Input'!A12</f>
        <v>Fines &amp; Forfeitures</v>
      </c>
      <c r="J12" s="107">
        <f>HLOOKUP(J5,'Data Input'!B3:F15,10)</f>
        <v>1263</v>
      </c>
      <c r="K12" s="107">
        <f>HLOOKUP(K5,'Data Input'!B3:F15,10)</f>
        <v>869</v>
      </c>
      <c r="L12" s="110">
        <f t="shared" si="0"/>
        <v>-0.31195566112430723</v>
      </c>
      <c r="N12" s="27"/>
    </row>
    <row r="13" spans="1:14" ht="17.25" customHeight="1">
      <c r="A13" s="82"/>
      <c r="E13" s="83"/>
      <c r="G13" s="26"/>
      <c r="I13" s="57" t="str">
        <f>'Data Input'!A13</f>
        <v>Interest &amp; Rents</v>
      </c>
      <c r="J13" s="107">
        <f>HLOOKUP(J5,'Data Input'!B3:F15,11)</f>
        <v>171275</v>
      </c>
      <c r="K13" s="107">
        <f>HLOOKUP(K5,'Data Input'!B3:F15,11)</f>
        <v>99035</v>
      </c>
      <c r="L13" s="110">
        <f t="shared" si="0"/>
        <v>-0.42177784265070795</v>
      </c>
      <c r="N13" s="27"/>
    </row>
    <row r="14" spans="1:14" ht="17.25" customHeight="1">
      <c r="A14" s="82"/>
      <c r="E14" s="83"/>
      <c r="G14" s="26"/>
      <c r="I14" s="69" t="str">
        <f>'Data Input'!A14</f>
        <v>Other Revenues</v>
      </c>
      <c r="J14" s="107">
        <f>HLOOKUP(J5,'Data Input'!B3:F15,12)</f>
        <v>222076</v>
      </c>
      <c r="K14" s="107">
        <f>HLOOKUP(K5,'Data Input'!B3:F15,12)</f>
        <v>247328</v>
      </c>
      <c r="L14" s="111">
        <f t="shared" si="0"/>
        <v>0.11370882040382571</v>
      </c>
      <c r="N14" s="27"/>
    </row>
    <row r="15" spans="1:14" ht="15" customHeight="1" thickBot="1">
      <c r="A15" s="82"/>
      <c r="E15" s="83"/>
      <c r="G15" s="26"/>
      <c r="I15" s="112" t="str">
        <f>'Data Input'!A15</f>
        <v>Total Revenues</v>
      </c>
      <c r="J15" s="107">
        <f>HLOOKUP(J5,'Data Input'!B3:F15,13)</f>
        <v>1061428</v>
      </c>
      <c r="K15" s="107">
        <f>HLOOKUP(K5,'Data Input'!B3:F15,13)</f>
        <v>915176</v>
      </c>
      <c r="L15" s="113">
        <f t="shared" si="0"/>
        <v>-0.1377879611240706</v>
      </c>
      <c r="N15" s="27"/>
    </row>
    <row r="16" spans="1:14" ht="15" customHeight="1" thickTop="1">
      <c r="A16" s="82"/>
      <c r="E16" s="83"/>
      <c r="G16" s="26"/>
      <c r="N16" s="27"/>
    </row>
    <row r="17" spans="1:14" ht="15" customHeight="1">
      <c r="A17" s="84"/>
      <c r="B17" s="85"/>
      <c r="C17" s="85"/>
      <c r="D17" s="85"/>
      <c r="E17" s="86"/>
      <c r="G17" s="28"/>
      <c r="H17" s="29"/>
      <c r="I17" s="29"/>
      <c r="J17" s="29"/>
      <c r="K17" s="29"/>
      <c r="L17" s="29"/>
      <c r="M17" s="29"/>
      <c r="N17" s="30"/>
    </row>
    <row r="18" spans="1:14" ht="15" customHeight="1">
      <c r="A18" s="14" t="s">
        <v>2</v>
      </c>
      <c r="G18" s="14" t="s">
        <v>90</v>
      </c>
    </row>
    <row r="19" spans="1:14" ht="15" customHeight="1">
      <c r="A19" s="79"/>
      <c r="B19" s="80"/>
      <c r="C19" s="80"/>
      <c r="D19" s="80"/>
      <c r="E19" s="81"/>
      <c r="G19" s="79"/>
      <c r="H19" s="80"/>
      <c r="I19" s="80"/>
      <c r="J19" s="80"/>
      <c r="K19" s="80"/>
      <c r="L19" s="80"/>
      <c r="M19" s="80"/>
      <c r="N19" s="81"/>
    </row>
    <row r="20" spans="1:14" ht="15" customHeight="1">
      <c r="A20" s="82"/>
      <c r="C20" s="74"/>
      <c r="D20" s="74"/>
      <c r="E20" s="83"/>
      <c r="G20" s="82"/>
      <c r="L20" s="136">
        <v>1</v>
      </c>
      <c r="N20" s="83"/>
    </row>
    <row r="21" spans="1:14" ht="15" customHeight="1">
      <c r="A21" s="82"/>
      <c r="E21" s="83"/>
      <c r="G21" s="82"/>
      <c r="I21" s="74">
        <f>'Data Input'!B3</f>
        <v>2011</v>
      </c>
      <c r="J21" s="74">
        <f>'Data Input'!C3</f>
        <v>2012</v>
      </c>
      <c r="K21" s="74">
        <f>'Data Input'!D3</f>
        <v>2013</v>
      </c>
      <c r="L21" s="74">
        <f>'Data Input'!E3</f>
        <v>2014</v>
      </c>
      <c r="M21" s="74">
        <f>'Data Input'!F3</f>
        <v>2015</v>
      </c>
      <c r="N21" s="83"/>
    </row>
    <row r="22" spans="1:14" ht="15" customHeight="1">
      <c r="A22" s="82"/>
      <c r="E22" s="83"/>
      <c r="G22" s="82"/>
      <c r="H22" s="14" t="str">
        <f t="shared" ref="H22:H30" si="1">I6</f>
        <v>Taxes</v>
      </c>
      <c r="I22" s="14">
        <f>'Data Input'!B6</f>
        <v>153084</v>
      </c>
      <c r="J22" s="14">
        <f>'Data Input'!C6</f>
        <v>176746</v>
      </c>
      <c r="K22" s="14">
        <f>'Data Input'!D6</f>
        <v>173627</v>
      </c>
      <c r="L22" s="14">
        <f>'Data Input'!E6</f>
        <v>187087</v>
      </c>
      <c r="M22" s="14">
        <f>'Data Input'!F6</f>
        <v>177084</v>
      </c>
      <c r="N22" s="83"/>
    </row>
    <row r="23" spans="1:14" ht="15" customHeight="1">
      <c r="A23" s="82"/>
      <c r="E23" s="83"/>
      <c r="G23" s="82"/>
      <c r="H23" s="14" t="str">
        <f t="shared" si="1"/>
        <v>Licenses &amp; Permits</v>
      </c>
      <c r="I23" s="14">
        <f>'Data Input'!B7</f>
        <v>16447</v>
      </c>
      <c r="J23" s="14">
        <f>'Data Input'!C7</f>
        <v>15319</v>
      </c>
      <c r="K23" s="14">
        <f>'Data Input'!D7</f>
        <v>16363</v>
      </c>
      <c r="L23" s="14">
        <f>'Data Input'!E7</f>
        <v>16982</v>
      </c>
      <c r="M23" s="14">
        <f>'Data Input'!F7</f>
        <v>17149</v>
      </c>
      <c r="N23" s="83"/>
    </row>
    <row r="24" spans="1:14" ht="15" customHeight="1">
      <c r="A24" s="82"/>
      <c r="E24" s="83"/>
      <c r="G24" s="82"/>
      <c r="H24" s="14" t="str">
        <f t="shared" si="1"/>
        <v>Federal Government</v>
      </c>
      <c r="I24" s="14">
        <f>'Data Input'!B8</f>
        <v>21154</v>
      </c>
      <c r="J24" s="14">
        <f>'Data Input'!C8</f>
        <v>278319</v>
      </c>
      <c r="K24" s="14">
        <f>'Data Input'!D8</f>
        <v>5000</v>
      </c>
      <c r="L24" s="14">
        <f>'Data Input'!E8</f>
        <v>150242</v>
      </c>
      <c r="M24" s="14">
        <f>'Data Input'!F8</f>
        <v>21999</v>
      </c>
      <c r="N24" s="83"/>
    </row>
    <row r="25" spans="1:14" ht="15" customHeight="1">
      <c r="A25" s="82"/>
      <c r="E25" s="83"/>
      <c r="G25" s="82"/>
      <c r="H25" s="14" t="str">
        <f t="shared" si="1"/>
        <v>State Government</v>
      </c>
      <c r="I25" s="14">
        <f>'Data Input'!B9</f>
        <v>234541</v>
      </c>
      <c r="J25" s="14">
        <f>'Data Input'!C9</f>
        <v>246265</v>
      </c>
      <c r="K25" s="14">
        <f>'Data Input'!D9</f>
        <v>273127</v>
      </c>
      <c r="L25" s="14">
        <f>'Data Input'!E9</f>
        <v>276490</v>
      </c>
      <c r="M25" s="14">
        <f>'Data Input'!F9</f>
        <v>304793</v>
      </c>
      <c r="N25" s="83"/>
    </row>
    <row r="26" spans="1:14" ht="15" customHeight="1">
      <c r="A26" s="82"/>
      <c r="E26" s="83"/>
      <c r="G26" s="82"/>
      <c r="H26" s="14" t="str">
        <f t="shared" si="1"/>
        <v>Local Contributions</v>
      </c>
      <c r="I26" s="14">
        <f>'Data Input'!B10</f>
        <v>13794</v>
      </c>
      <c r="J26" s="14">
        <f>'Data Input'!C10</f>
        <v>13717</v>
      </c>
      <c r="K26" s="14">
        <f>'Data Input'!D10</f>
        <v>13367</v>
      </c>
      <c r="L26" s="14">
        <f>'Data Input'!E10</f>
        <v>0</v>
      </c>
      <c r="M26" s="14">
        <f>'Data Input'!F10</f>
        <v>13442</v>
      </c>
      <c r="N26" s="83"/>
    </row>
    <row r="27" spans="1:14" ht="15" customHeight="1">
      <c r="A27" s="82"/>
      <c r="E27" s="83"/>
      <c r="G27" s="82"/>
      <c r="H27" s="14" t="str">
        <f t="shared" si="1"/>
        <v>Charges for Services</v>
      </c>
      <c r="I27" s="14">
        <f>'Data Input'!B11</f>
        <v>39729</v>
      </c>
      <c r="J27" s="14">
        <f>'Data Input'!C11</f>
        <v>35194</v>
      </c>
      <c r="K27" s="14">
        <f>'Data Input'!D11</f>
        <v>32464</v>
      </c>
      <c r="L27" s="14">
        <f>'Data Input'!E11</f>
        <v>36013</v>
      </c>
      <c r="M27" s="14">
        <f>'Data Input'!F11</f>
        <v>33477</v>
      </c>
      <c r="N27" s="83"/>
    </row>
    <row r="28" spans="1:14" ht="15" customHeight="1">
      <c r="A28" s="82"/>
      <c r="E28" s="83"/>
      <c r="G28" s="82"/>
      <c r="H28" s="14" t="str">
        <f t="shared" si="1"/>
        <v>Fines &amp; Forfeitures</v>
      </c>
      <c r="I28" s="14">
        <f>'Data Input'!B12</f>
        <v>265</v>
      </c>
      <c r="J28" s="14">
        <f>'Data Input'!C12</f>
        <v>1338</v>
      </c>
      <c r="K28" s="14">
        <f>'Data Input'!D12</f>
        <v>596</v>
      </c>
      <c r="L28" s="14">
        <f>'Data Input'!E12</f>
        <v>1263</v>
      </c>
      <c r="M28" s="14">
        <f>'Data Input'!F12</f>
        <v>869</v>
      </c>
      <c r="N28" s="83"/>
    </row>
    <row r="29" spans="1:14" ht="15" customHeight="1">
      <c r="A29" s="82"/>
      <c r="E29" s="83"/>
      <c r="G29" s="82"/>
      <c r="H29" s="14" t="str">
        <f t="shared" si="1"/>
        <v>Interest &amp; Rents</v>
      </c>
      <c r="I29" s="14">
        <f>'Data Input'!B13</f>
        <v>125800</v>
      </c>
      <c r="J29" s="14">
        <f>'Data Input'!C13</f>
        <v>147466</v>
      </c>
      <c r="K29" s="14">
        <f>'Data Input'!D13</f>
        <v>166500</v>
      </c>
      <c r="L29" s="14">
        <f>'Data Input'!E13</f>
        <v>171275</v>
      </c>
      <c r="M29" s="14">
        <f>'Data Input'!F13</f>
        <v>99035</v>
      </c>
      <c r="N29" s="83"/>
    </row>
    <row r="30" spans="1:14" ht="15" customHeight="1">
      <c r="A30" s="82"/>
      <c r="E30" s="83"/>
      <c r="G30" s="82"/>
      <c r="H30" s="14" t="str">
        <f t="shared" si="1"/>
        <v>Other Revenues</v>
      </c>
      <c r="I30" s="14">
        <f>'Data Input'!B14</f>
        <v>201380</v>
      </c>
      <c r="J30" s="14">
        <f>'Data Input'!C14</f>
        <v>196713</v>
      </c>
      <c r="K30" s="14">
        <f>'Data Input'!D14</f>
        <v>179482</v>
      </c>
      <c r="L30" s="14">
        <f>'Data Input'!E14</f>
        <v>222076</v>
      </c>
      <c r="M30" s="14">
        <f>'Data Input'!F14</f>
        <v>247328</v>
      </c>
      <c r="N30" s="83"/>
    </row>
    <row r="31" spans="1:14" ht="15" customHeight="1">
      <c r="A31" s="82"/>
      <c r="E31" s="83"/>
      <c r="G31" s="82"/>
      <c r="H31" s="14" t="str">
        <f t="shared" ref="H31:M31" si="2">INDEX(H22:H30,$L$20)</f>
        <v>Taxes</v>
      </c>
      <c r="I31" s="14">
        <f t="shared" si="2"/>
        <v>153084</v>
      </c>
      <c r="J31" s="14">
        <f t="shared" si="2"/>
        <v>176746</v>
      </c>
      <c r="K31" s="14">
        <f t="shared" si="2"/>
        <v>173627</v>
      </c>
      <c r="L31" s="14">
        <f t="shared" si="2"/>
        <v>187087</v>
      </c>
      <c r="M31" s="14">
        <f t="shared" si="2"/>
        <v>177084</v>
      </c>
      <c r="N31" s="83"/>
    </row>
    <row r="32" spans="1:14" ht="15" customHeight="1">
      <c r="A32" s="82"/>
      <c r="E32" s="83"/>
      <c r="G32" s="82"/>
      <c r="N32" s="83"/>
    </row>
    <row r="33" spans="1:16" ht="15" customHeight="1">
      <c r="A33" s="84"/>
      <c r="B33" s="85"/>
      <c r="C33" s="85"/>
      <c r="D33" s="85"/>
      <c r="E33" s="86"/>
      <c r="G33" s="84"/>
      <c r="H33" s="85"/>
      <c r="I33" s="85"/>
      <c r="J33" s="85"/>
      <c r="K33" s="85"/>
      <c r="L33" s="85"/>
      <c r="M33" s="85"/>
      <c r="N33" s="86"/>
    </row>
    <row r="35" spans="1:16" ht="15" customHeight="1">
      <c r="A35" s="141" t="s">
        <v>7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31"/>
      <c r="P35" s="31"/>
    </row>
    <row r="36" spans="1:16" ht="1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6"/>
      <c r="O36" s="31"/>
      <c r="P36" s="31"/>
    </row>
    <row r="37" spans="1:16" ht="15" customHeight="1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  <c r="O37" s="31"/>
      <c r="P37" s="31"/>
    </row>
    <row r="38" spans="1:16" ht="15" customHeight="1">
      <c r="A38" s="14" t="str">
        <f>CONCATENATE("For more information on our unit's finances, contact ",'Data Input'!B69," at ",'Data Input'!B70,".")</f>
        <v>For more information on our unit's finances, contact Robert Poirier at 906-296-9911.</v>
      </c>
    </row>
    <row r="40" spans="1:16" ht="15" customHeight="1">
      <c r="A40" s="14" t="s">
        <v>206</v>
      </c>
    </row>
    <row r="41" spans="1:16" ht="15" customHeight="1">
      <c r="A41" s="14" t="s">
        <v>55</v>
      </c>
    </row>
    <row r="42" spans="1:16" ht="15" customHeight="1">
      <c r="A42" s="14" t="s">
        <v>158</v>
      </c>
    </row>
  </sheetData>
  <sheetProtection sheet="1"/>
  <mergeCells count="2">
    <mergeCell ref="A35:N37"/>
    <mergeCell ref="A1:N1"/>
  </mergeCells>
  <printOptions horizontalCentered="1"/>
  <pageMargins left="0.2" right="0.2" top="0.5" bottom="0.5" header="0.25" footer="0.25"/>
  <pageSetup scale="90" orientation="landscape"/>
  <headerFooter alignWithMargins="0">
    <oddFooter>&amp;L&amp;"Calibri,Bold"CITIZEN'S GUIDE TO LOCAL UNIT FINANCES&amp;R&amp;"Calibri,Bold"&amp;A -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46"/>
  <sheetViews>
    <sheetView zoomScale="85" zoomScaleNormal="85" workbookViewId="0">
      <selection activeCell="U19" sqref="U19"/>
    </sheetView>
  </sheetViews>
  <sheetFormatPr defaultColWidth="13" defaultRowHeight="15" customHeight="1"/>
  <cols>
    <col min="1" max="1" width="11" customWidth="1"/>
    <col min="2" max="3" width="13.7109375" customWidth="1"/>
    <col min="4" max="4" width="13" customWidth="1"/>
    <col min="5" max="5" width="13.7109375" customWidth="1"/>
    <col min="6" max="6" width="4.85546875" customWidth="1"/>
    <col min="7" max="8" width="2.85546875" customWidth="1"/>
    <col min="9" max="9" width="31.7109375" customWidth="1"/>
    <col min="10" max="11" width="17.42578125" customWidth="1"/>
    <col min="12" max="12" width="9.140625" customWidth="1"/>
    <col min="13" max="14" width="2.85546875" customWidth="1"/>
  </cols>
  <sheetData>
    <row r="1" spans="1:14" ht="15" customHeight="1">
      <c r="A1" s="151" t="str">
        <f>'Data Input'!A1:H1</f>
        <v>CITIZENS' GUIDE TO LOCAL UNIT FINANCES - Lake Linden - Houghton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" customHeight="1">
      <c r="A2" t="s">
        <v>154</v>
      </c>
      <c r="G2" t="s">
        <v>173</v>
      </c>
    </row>
    <row r="3" spans="1:14" ht="15" customHeight="1">
      <c r="A3" s="89"/>
      <c r="B3" s="90"/>
      <c r="C3" s="90"/>
      <c r="D3" s="90"/>
      <c r="E3" s="91"/>
      <c r="G3" s="5"/>
      <c r="H3" s="88"/>
      <c r="I3" s="88"/>
      <c r="J3" s="88"/>
      <c r="K3" s="88"/>
      <c r="L3" s="88"/>
      <c r="M3" s="6"/>
      <c r="N3" s="7"/>
    </row>
    <row r="4" spans="1:14" ht="19.5" customHeight="1">
      <c r="A4" s="92"/>
      <c r="C4" s="87">
        <f>'Data Input'!E3</f>
        <v>2014</v>
      </c>
      <c r="E4" s="93"/>
      <c r="G4" s="10"/>
      <c r="I4" s="102"/>
      <c r="J4" s="103">
        <f>K4-1</f>
        <v>2014</v>
      </c>
      <c r="K4" s="103">
        <f>IF('Data Input'!F28&lt;&gt;0,'Data Input'!F3,IF('Data Input'!E28&lt;&gt;0,'Data Input'!E3,IF('Data Input'!D28&lt;&gt;0,'Data Input'!D3,'Data Input'!C3)))</f>
        <v>2015</v>
      </c>
      <c r="L4" s="103" t="s">
        <v>12</v>
      </c>
      <c r="N4" s="9"/>
    </row>
    <row r="5" spans="1:14" ht="15" customHeight="1">
      <c r="A5" s="92"/>
      <c r="E5" s="93"/>
      <c r="G5" s="10"/>
      <c r="I5" s="114" t="str">
        <f>'Data Input'!A17</f>
        <v>General Government</v>
      </c>
      <c r="J5" s="115">
        <f>HLOOKUP(J4,'Data Input'!B3:F28,15)</f>
        <v>75264</v>
      </c>
      <c r="K5" s="115">
        <f>HLOOKUP(K4,'Data Input'!B3:F28,15)</f>
        <v>78783</v>
      </c>
      <c r="L5" s="116">
        <f t="shared" ref="L5:L15" si="0">IF(J5=0,"N/A",(K5-J5)/J5)</f>
        <v>4.6755420918367346E-2</v>
      </c>
      <c r="N5" s="9"/>
    </row>
    <row r="6" spans="1:14" ht="15" customHeight="1">
      <c r="A6" s="92"/>
      <c r="E6" s="93"/>
      <c r="G6" s="10"/>
      <c r="I6" s="117" t="str">
        <f>'Data Input'!A18</f>
        <v>Police &amp; Fire</v>
      </c>
      <c r="J6" s="115">
        <f>HLOOKUP(J4,'Data Input'!B3:F28,16)</f>
        <v>64230</v>
      </c>
      <c r="K6" s="115">
        <f>HLOOKUP(K4,'Data Input'!B3:F28,16)</f>
        <v>69764</v>
      </c>
      <c r="L6" s="118">
        <f t="shared" si="0"/>
        <v>8.6159115678032069E-2</v>
      </c>
      <c r="N6" s="9"/>
    </row>
    <row r="7" spans="1:14" ht="15" customHeight="1">
      <c r="A7" s="92"/>
      <c r="E7" s="93"/>
      <c r="G7" s="10"/>
      <c r="I7" s="117" t="str">
        <f>'Data Input'!A19</f>
        <v>Other Public Safety</v>
      </c>
      <c r="J7" s="115">
        <f>HLOOKUP(J4,'Data Input'!B3:F28,17)</f>
        <v>4329</v>
      </c>
      <c r="K7" s="115">
        <f>HLOOKUP(K4,'Data Input'!B3:F28,17)</f>
        <v>4793</v>
      </c>
      <c r="L7" s="118">
        <f t="shared" si="0"/>
        <v>0.10718410718410719</v>
      </c>
      <c r="N7" s="9"/>
    </row>
    <row r="8" spans="1:14" ht="15" customHeight="1">
      <c r="A8" s="92"/>
      <c r="E8" s="93"/>
      <c r="G8" s="10"/>
      <c r="I8" s="117" t="str">
        <f>'Data Input'!A20</f>
        <v xml:space="preserve">Roads </v>
      </c>
      <c r="J8" s="115">
        <f>HLOOKUP(J4,'Data Input'!B3:F28,18)</f>
        <v>318355</v>
      </c>
      <c r="K8" s="115">
        <f>HLOOKUP(K4,'Data Input'!B3:F28,18)</f>
        <v>172381</v>
      </c>
      <c r="L8" s="118">
        <f t="shared" si="0"/>
        <v>-0.45852585949647406</v>
      </c>
      <c r="N8" s="9"/>
    </row>
    <row r="9" spans="1:14" ht="15" customHeight="1">
      <c r="A9" s="92"/>
      <c r="E9" s="93"/>
      <c r="G9" s="10"/>
      <c r="I9" s="117" t="str">
        <f>'Data Input'!A21</f>
        <v>Other Public Works</v>
      </c>
      <c r="J9" s="115">
        <f>HLOOKUP(J4,'Data Input'!B3:F28,19)</f>
        <v>115632</v>
      </c>
      <c r="K9" s="115">
        <f>HLOOKUP(K4,'Data Input'!B3:F28,19)</f>
        <v>127943</v>
      </c>
      <c r="L9" s="118">
        <f t="shared" si="0"/>
        <v>0.10646706793967067</v>
      </c>
      <c r="N9" s="9"/>
    </row>
    <row r="10" spans="1:14" ht="15" customHeight="1">
      <c r="A10" s="92"/>
      <c r="E10" s="93"/>
      <c r="G10" s="10"/>
      <c r="I10" s="117" t="str">
        <f>'Data Input'!A22</f>
        <v>Health &amp; Welfare</v>
      </c>
      <c r="J10" s="115">
        <f>HLOOKUP(J4,'Data Input'!B3:F28,20)</f>
        <v>0</v>
      </c>
      <c r="K10" s="115">
        <f>HLOOKUP(K4,'Data Input'!B3:F28,20)</f>
        <v>0</v>
      </c>
      <c r="L10" s="118" t="str">
        <f t="shared" si="0"/>
        <v>N/A</v>
      </c>
      <c r="N10" s="9"/>
    </row>
    <row r="11" spans="1:14" ht="15" customHeight="1">
      <c r="A11" s="92"/>
      <c r="E11" s="93"/>
      <c r="G11" s="10"/>
      <c r="I11" s="117" t="str">
        <f>'Data Input'!A23</f>
        <v>Community/Econ. Development</v>
      </c>
      <c r="J11" s="115">
        <f>HLOOKUP(J4,'Data Input'!B3:F28,21)</f>
        <v>143063</v>
      </c>
      <c r="K11" s="115">
        <f>HLOOKUP(K4,'Data Input'!B3:F28,21)</f>
        <v>0</v>
      </c>
      <c r="L11" s="118">
        <f t="shared" si="0"/>
        <v>-1</v>
      </c>
      <c r="N11" s="9"/>
    </row>
    <row r="12" spans="1:14" ht="15" customHeight="1">
      <c r="A12" s="92"/>
      <c r="E12" s="93"/>
      <c r="G12" s="10"/>
      <c r="I12" s="117" t="str">
        <f>'Data Input'!A24</f>
        <v>Recreation &amp; Culture</v>
      </c>
      <c r="J12" s="115">
        <f>HLOOKUP(J4,'Data Input'!B3:F28,22)</f>
        <v>43113</v>
      </c>
      <c r="K12" s="115">
        <f>HLOOKUP(K4,'Data Input'!B3:F28,22)</f>
        <v>73392</v>
      </c>
      <c r="L12" s="118">
        <f t="shared" si="0"/>
        <v>0.70231716651590004</v>
      </c>
      <c r="N12" s="9"/>
    </row>
    <row r="13" spans="1:14" ht="15" customHeight="1">
      <c r="A13" s="92"/>
      <c r="E13" s="93"/>
      <c r="G13" s="10"/>
      <c r="I13" s="117" t="str">
        <f>'Data Input'!A25</f>
        <v>Capital Outlay</v>
      </c>
      <c r="J13" s="115">
        <f>HLOOKUP(J4,'Data Input'!B3:F28,23)</f>
        <v>1598</v>
      </c>
      <c r="K13" s="115">
        <f>HLOOKUP(K4,'Data Input'!B3:F28,23)</f>
        <v>61066</v>
      </c>
      <c r="L13" s="118">
        <f t="shared" si="0"/>
        <v>37.214017521902377</v>
      </c>
      <c r="N13" s="9"/>
    </row>
    <row r="14" spans="1:14">
      <c r="A14" s="92"/>
      <c r="E14" s="93"/>
      <c r="G14" s="10"/>
      <c r="I14" s="117" t="str">
        <f>'Data Input'!A26</f>
        <v>Debt Service</v>
      </c>
      <c r="J14" s="115">
        <f>HLOOKUP(J4,'Data Input'!B3:F28,24)</f>
        <v>19284</v>
      </c>
      <c r="K14" s="115">
        <f>HLOOKUP(K4,'Data Input'!B3:F28,24)</f>
        <v>36907</v>
      </c>
      <c r="L14" s="118">
        <f t="shared" si="0"/>
        <v>0.91386641775565236</v>
      </c>
      <c r="N14" s="9"/>
    </row>
    <row r="15" spans="1:14">
      <c r="A15" s="92"/>
      <c r="E15" s="93"/>
      <c r="G15" s="10"/>
      <c r="I15" s="119" t="str">
        <f>'Data Input'!A27</f>
        <v>Other Expenditures</v>
      </c>
      <c r="J15" s="115">
        <f>HLOOKUP(J4,'Data Input'!B3:F28,25)</f>
        <v>297303</v>
      </c>
      <c r="K15" s="115">
        <f>HLOOKUP(K4,'Data Input'!B3:F28,25)</f>
        <v>285019</v>
      </c>
      <c r="L15" s="120">
        <f t="shared" si="0"/>
        <v>-4.1318116534310112E-2</v>
      </c>
      <c r="N15" s="9"/>
    </row>
    <row r="16" spans="1:14" ht="15.75" thickBot="1">
      <c r="A16" s="92"/>
      <c r="E16" s="93"/>
      <c r="G16" s="10"/>
      <c r="I16" s="121" t="s">
        <v>174</v>
      </c>
      <c r="J16" s="115">
        <f>HLOOKUP(J4,'Data Input'!B3:F28,26)</f>
        <v>1082171</v>
      </c>
      <c r="K16" s="115">
        <f>HLOOKUP(K4,'Data Input'!B3:F28,26)</f>
        <v>910048</v>
      </c>
      <c r="L16" s="122">
        <f>(K16-J16)/J16</f>
        <v>-0.15905342131696376</v>
      </c>
      <c r="N16" s="9"/>
    </row>
    <row r="17" spans="1:14" ht="15.75" customHeight="1" thickTop="1">
      <c r="A17" s="92"/>
      <c r="E17" s="93"/>
      <c r="G17" s="10"/>
      <c r="I17" s="2"/>
      <c r="J17" s="97"/>
      <c r="K17" s="97"/>
      <c r="L17" s="98"/>
      <c r="N17" s="9"/>
    </row>
    <row r="18" spans="1:14" ht="12" customHeight="1">
      <c r="A18" s="94"/>
      <c r="B18" s="95"/>
      <c r="C18" s="95"/>
      <c r="D18" s="95"/>
      <c r="E18" s="96"/>
      <c r="G18" s="8"/>
      <c r="H18" s="11"/>
      <c r="I18" s="11"/>
      <c r="J18" s="11"/>
      <c r="K18" s="11"/>
      <c r="L18" s="11"/>
      <c r="M18" s="11"/>
      <c r="N18" s="12"/>
    </row>
    <row r="19" spans="1:14" ht="15" customHeight="1">
      <c r="A19" t="s">
        <v>60</v>
      </c>
      <c r="G19" t="s">
        <v>107</v>
      </c>
      <c r="I19" s="4"/>
    </row>
    <row r="20" spans="1:14" ht="15" customHeight="1">
      <c r="A20" s="89"/>
      <c r="B20" s="90"/>
      <c r="C20" s="90"/>
      <c r="D20" s="90"/>
      <c r="E20" s="91"/>
      <c r="G20" s="89"/>
      <c r="H20" s="90"/>
      <c r="I20" s="90"/>
      <c r="J20" s="90"/>
      <c r="K20" s="90"/>
      <c r="L20" s="90"/>
      <c r="M20" s="90"/>
      <c r="N20" s="91"/>
    </row>
    <row r="21" spans="1:14" ht="15" customHeight="1">
      <c r="A21" s="92"/>
      <c r="C21" s="87"/>
      <c r="D21" s="87"/>
      <c r="E21" s="93"/>
      <c r="G21" s="92"/>
      <c r="N21" s="93"/>
    </row>
    <row r="22" spans="1:14" ht="15" customHeight="1">
      <c r="A22" s="92"/>
      <c r="E22" s="93"/>
      <c r="G22" s="92"/>
      <c r="N22" s="93"/>
    </row>
    <row r="23" spans="1:14" ht="15" customHeight="1">
      <c r="A23" s="92"/>
      <c r="E23" s="93"/>
      <c r="G23" s="92"/>
      <c r="I23" s="136">
        <v>1</v>
      </c>
      <c r="N23" s="93"/>
    </row>
    <row r="24" spans="1:14" ht="15" customHeight="1">
      <c r="A24" s="92"/>
      <c r="E24" s="93"/>
      <c r="G24" s="92"/>
      <c r="I24" s="87">
        <f>'Data Input'!B3</f>
        <v>2011</v>
      </c>
      <c r="J24" s="87">
        <f>'Data Input'!C3</f>
        <v>2012</v>
      </c>
      <c r="K24" s="87">
        <f>'Data Input'!D3</f>
        <v>2013</v>
      </c>
      <c r="L24" s="87">
        <f>'Data Input'!E3</f>
        <v>2014</v>
      </c>
      <c r="M24" s="87">
        <f>'Data Input'!F3</f>
        <v>2015</v>
      </c>
      <c r="N24" s="93"/>
    </row>
    <row r="25" spans="1:14" ht="15" customHeight="1">
      <c r="A25" s="92"/>
      <c r="E25" s="93"/>
      <c r="G25" s="92"/>
      <c r="H25" t="str">
        <f>'Data Input'!A17</f>
        <v>General Government</v>
      </c>
      <c r="I25">
        <f>'Data Input'!B17</f>
        <v>66553</v>
      </c>
      <c r="J25">
        <f>'Data Input'!C17</f>
        <v>62003</v>
      </c>
      <c r="K25">
        <f>'Data Input'!D17</f>
        <v>70091</v>
      </c>
      <c r="L25">
        <f>'Data Input'!E17</f>
        <v>75264</v>
      </c>
      <c r="M25">
        <f>'Data Input'!F17</f>
        <v>78783</v>
      </c>
      <c r="N25" s="93"/>
    </row>
    <row r="26" spans="1:14" ht="15" customHeight="1">
      <c r="A26" s="92"/>
      <c r="E26" s="93"/>
      <c r="G26" s="92"/>
      <c r="H26" t="str">
        <f>'Data Input'!A18</f>
        <v>Police &amp; Fire</v>
      </c>
      <c r="I26">
        <f>'Data Input'!B18</f>
        <v>49025</v>
      </c>
      <c r="J26">
        <f>'Data Input'!C18</f>
        <v>61780</v>
      </c>
      <c r="K26">
        <f>'Data Input'!D18</f>
        <v>56111</v>
      </c>
      <c r="L26">
        <f>'Data Input'!E18</f>
        <v>64230</v>
      </c>
      <c r="M26">
        <f>'Data Input'!F18</f>
        <v>69764</v>
      </c>
      <c r="N26" s="93"/>
    </row>
    <row r="27" spans="1:14" ht="15" customHeight="1">
      <c r="A27" s="92"/>
      <c r="E27" s="93"/>
      <c r="G27" s="92"/>
      <c r="H27" t="str">
        <f>'Data Input'!A19</f>
        <v>Other Public Safety</v>
      </c>
      <c r="I27">
        <f>'Data Input'!B19</f>
        <v>4576</v>
      </c>
      <c r="J27">
        <f>'Data Input'!C19</f>
        <v>4532</v>
      </c>
      <c r="K27">
        <f>'Data Input'!D19</f>
        <v>4347</v>
      </c>
      <c r="L27">
        <f>'Data Input'!E19</f>
        <v>4329</v>
      </c>
      <c r="M27">
        <f>'Data Input'!F19</f>
        <v>4793</v>
      </c>
      <c r="N27" s="93"/>
    </row>
    <row r="28" spans="1:14" ht="15" customHeight="1">
      <c r="A28" s="92"/>
      <c r="E28" s="93"/>
      <c r="G28" s="92"/>
      <c r="H28" t="str">
        <f>'Data Input'!A20</f>
        <v xml:space="preserve">Roads </v>
      </c>
      <c r="I28">
        <f>'Data Input'!B20</f>
        <v>188815</v>
      </c>
      <c r="J28">
        <f>'Data Input'!C20</f>
        <v>193609</v>
      </c>
      <c r="K28">
        <f>'Data Input'!D20</f>
        <v>245930</v>
      </c>
      <c r="L28">
        <f>'Data Input'!E20</f>
        <v>318355</v>
      </c>
      <c r="M28">
        <f>'Data Input'!F20</f>
        <v>172381</v>
      </c>
      <c r="N28" s="93"/>
    </row>
    <row r="29" spans="1:14" ht="15" customHeight="1">
      <c r="A29" s="92"/>
      <c r="E29" s="93"/>
      <c r="G29" s="92"/>
      <c r="H29" t="str">
        <f>'Data Input'!A21</f>
        <v>Other Public Works</v>
      </c>
      <c r="I29">
        <f>'Data Input'!B21</f>
        <v>76435</v>
      </c>
      <c r="J29">
        <f>'Data Input'!C21</f>
        <v>101969</v>
      </c>
      <c r="K29">
        <f>'Data Input'!D21</f>
        <v>109608</v>
      </c>
      <c r="L29">
        <f>'Data Input'!E21</f>
        <v>115632</v>
      </c>
      <c r="M29">
        <f>'Data Input'!F21</f>
        <v>127943</v>
      </c>
      <c r="N29" s="93"/>
    </row>
    <row r="30" spans="1:14" ht="15" customHeight="1">
      <c r="A30" s="92"/>
      <c r="E30" s="93"/>
      <c r="G30" s="92"/>
      <c r="H30" t="str">
        <f>'Data Input'!A22</f>
        <v>Health &amp; Welfare</v>
      </c>
      <c r="I30">
        <f>'Data Input'!B22</f>
        <v>0</v>
      </c>
      <c r="J30">
        <f>'Data Input'!C22</f>
        <v>0</v>
      </c>
      <c r="K30">
        <f>'Data Input'!D22</f>
        <v>0</v>
      </c>
      <c r="L30">
        <f>'Data Input'!E22</f>
        <v>0</v>
      </c>
      <c r="M30">
        <f>'Data Input'!F22</f>
        <v>0</v>
      </c>
      <c r="N30" s="93"/>
    </row>
    <row r="31" spans="1:14" ht="15" customHeight="1">
      <c r="A31" s="92"/>
      <c r="E31" s="93"/>
      <c r="G31" s="92"/>
      <c r="H31" t="str">
        <f>'Data Input'!A23</f>
        <v>Community/Econ. Development</v>
      </c>
      <c r="I31">
        <f>'Data Input'!B23</f>
        <v>64204</v>
      </c>
      <c r="J31">
        <f>'Data Input'!C23</f>
        <v>291506</v>
      </c>
      <c r="K31">
        <f>'Data Input'!D23</f>
        <v>7240</v>
      </c>
      <c r="L31">
        <f>'Data Input'!E23</f>
        <v>143063</v>
      </c>
      <c r="M31">
        <f>'Data Input'!F23</f>
        <v>0</v>
      </c>
      <c r="N31" s="93"/>
    </row>
    <row r="32" spans="1:14" ht="15" customHeight="1">
      <c r="A32" s="92"/>
      <c r="E32" s="93"/>
      <c r="G32" s="92"/>
      <c r="H32" t="str">
        <f>'Data Input'!A24</f>
        <v>Recreation &amp; Culture</v>
      </c>
      <c r="I32">
        <f>'Data Input'!B24</f>
        <v>34501</v>
      </c>
      <c r="J32">
        <f>'Data Input'!C24</f>
        <v>42797</v>
      </c>
      <c r="K32">
        <f>'Data Input'!D24</f>
        <v>45296</v>
      </c>
      <c r="L32">
        <f>'Data Input'!E24</f>
        <v>43113</v>
      </c>
      <c r="M32">
        <f>'Data Input'!F24</f>
        <v>73392</v>
      </c>
      <c r="N32" s="93"/>
    </row>
    <row r="33" spans="1:14" ht="15" customHeight="1">
      <c r="A33" s="92"/>
      <c r="E33" s="93"/>
      <c r="G33" s="92"/>
      <c r="H33" t="str">
        <f>'Data Input'!A25</f>
        <v>Capital Outlay</v>
      </c>
      <c r="I33">
        <f>'Data Input'!B25</f>
        <v>0</v>
      </c>
      <c r="J33">
        <f>'Data Input'!C25</f>
        <v>5399</v>
      </c>
      <c r="K33">
        <f>'Data Input'!D25</f>
        <v>350</v>
      </c>
      <c r="L33">
        <f>'Data Input'!E25</f>
        <v>1598</v>
      </c>
      <c r="M33">
        <f>'Data Input'!F25</f>
        <v>61066</v>
      </c>
      <c r="N33" s="93"/>
    </row>
    <row r="34" spans="1:14" ht="15" customHeight="1">
      <c r="A34" s="92"/>
      <c r="E34" s="93"/>
      <c r="G34" s="92"/>
      <c r="H34" t="str">
        <f>'Data Input'!A26</f>
        <v>Debt Service</v>
      </c>
      <c r="I34">
        <f>'Data Input'!B26</f>
        <v>33846</v>
      </c>
      <c r="J34">
        <f>'Data Input'!C26</f>
        <v>19970</v>
      </c>
      <c r="K34">
        <f>'Data Input'!D26</f>
        <v>19869</v>
      </c>
      <c r="L34">
        <f>'Data Input'!E26</f>
        <v>19284</v>
      </c>
      <c r="M34">
        <f>'Data Input'!F26</f>
        <v>36907</v>
      </c>
      <c r="N34" s="93"/>
    </row>
    <row r="35" spans="1:14" ht="15" customHeight="1">
      <c r="A35" s="92"/>
      <c r="E35" s="93"/>
      <c r="G35" s="92"/>
      <c r="H35" t="str">
        <f>'Data Input'!A27</f>
        <v>Other Expenditures</v>
      </c>
      <c r="I35">
        <f>'Data Input'!B27</f>
        <v>287605</v>
      </c>
      <c r="J35">
        <f>'Data Input'!C27</f>
        <v>291550</v>
      </c>
      <c r="K35">
        <f>'Data Input'!D27</f>
        <v>277934</v>
      </c>
      <c r="L35">
        <f>'Data Input'!E27</f>
        <v>297303</v>
      </c>
      <c r="M35">
        <f>'Data Input'!F27</f>
        <v>285019</v>
      </c>
      <c r="N35" s="93"/>
    </row>
    <row r="36" spans="1:14" ht="15" customHeight="1">
      <c r="A36" s="92"/>
      <c r="E36" s="93"/>
      <c r="G36" s="92"/>
      <c r="H36" t="str">
        <f t="shared" ref="H36:M36" si="1">INDEX(H25:H35,$I$23)</f>
        <v>General Government</v>
      </c>
      <c r="I36">
        <f t="shared" si="1"/>
        <v>66553</v>
      </c>
      <c r="J36">
        <f t="shared" si="1"/>
        <v>62003</v>
      </c>
      <c r="K36">
        <f t="shared" si="1"/>
        <v>70091</v>
      </c>
      <c r="L36">
        <f t="shared" si="1"/>
        <v>75264</v>
      </c>
      <c r="M36">
        <f t="shared" si="1"/>
        <v>78783</v>
      </c>
      <c r="N36" s="93"/>
    </row>
    <row r="37" spans="1:14" ht="15" customHeight="1">
      <c r="A37" s="94"/>
      <c r="B37" s="95"/>
      <c r="C37" s="95"/>
      <c r="D37" s="95"/>
      <c r="E37" s="96"/>
      <c r="G37" s="94"/>
      <c r="H37" s="95"/>
      <c r="I37" s="95"/>
      <c r="J37" s="95"/>
      <c r="K37" s="95"/>
      <c r="L37" s="95"/>
      <c r="M37" s="95"/>
      <c r="N37" s="96"/>
    </row>
    <row r="39" spans="1:14" ht="15" customHeight="1">
      <c r="A39" s="141" t="s">
        <v>7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</row>
    <row r="40" spans="1:14" ht="15" customHeight="1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6"/>
    </row>
    <row r="41" spans="1:14" ht="15" customHeight="1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9"/>
    </row>
    <row r="42" spans="1:14" ht="15" customHeight="1">
      <c r="A42" t="str">
        <f>CONCATENATE("For more information on our unit's finances, contact ",'Data Input'!B69," at ",'Data Input'!B70,".")</f>
        <v>For more information on our unit's finances, contact Robert Poirier at 906-296-9911.</v>
      </c>
    </row>
    <row r="44" spans="1:14" ht="15" customHeight="1">
      <c r="A44" t="s">
        <v>206</v>
      </c>
    </row>
    <row r="45" spans="1:14" ht="15" customHeight="1">
      <c r="A45" s="14" t="s">
        <v>55</v>
      </c>
    </row>
    <row r="46" spans="1:14" ht="15" customHeight="1">
      <c r="A46" s="14" t="s">
        <v>158</v>
      </c>
    </row>
  </sheetData>
  <sheetProtection sheet="1"/>
  <mergeCells count="2">
    <mergeCell ref="A39:N41"/>
    <mergeCell ref="A1:N1"/>
  </mergeCells>
  <printOptions horizontalCentered="1"/>
  <pageMargins left="0.2" right="0.2" top="0.5" bottom="0.5" header="0.25" footer="0.25"/>
  <pageSetup scale="85" orientation="landscape"/>
  <headerFooter alignWithMargins="0">
    <oddFooter>&amp;L&amp;"Calibri,Bold"CITIZEN'S GUIDE TO LOCAL UNIT FINANCES&amp;R&amp;"Calibri,Bold"&amp;A - 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U41"/>
  <sheetViews>
    <sheetView zoomScale="85" zoomScaleNormal="85" workbookViewId="0">
      <selection activeCell="U24" sqref="U24"/>
    </sheetView>
  </sheetViews>
  <sheetFormatPr defaultColWidth="13" defaultRowHeight="15" customHeight="1"/>
  <cols>
    <col min="1" max="1" width="13" customWidth="1"/>
    <col min="2" max="3" width="13.7109375" customWidth="1"/>
    <col min="4" max="4" width="4.140625" customWidth="1"/>
    <col min="5" max="5" width="5.7109375" customWidth="1"/>
    <col min="6" max="6" width="13.7109375" customWidth="1"/>
    <col min="7" max="7" width="3.85546875" customWidth="1"/>
    <col min="8" max="9" width="2.85546875" customWidth="1"/>
    <col min="10" max="10" width="29" customWidth="1"/>
    <col min="11" max="12" width="17.42578125" customWidth="1"/>
    <col min="13" max="13" width="10.140625" customWidth="1"/>
    <col min="14" max="15" width="2.85546875" customWidth="1"/>
  </cols>
  <sheetData>
    <row r="1" spans="1:15" ht="15" customHeight="1">
      <c r="A1" s="151" t="str">
        <f>'Data Input'!A1:H1</f>
        <v>CITIZENS' GUIDE TO LOCAL UNIT FINANCES - Lake Linden - Houghton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5" customHeight="1">
      <c r="A2" t="s">
        <v>65</v>
      </c>
      <c r="H2" t="s">
        <v>173</v>
      </c>
    </row>
    <row r="3" spans="1:15" ht="15" customHeight="1">
      <c r="A3" s="89"/>
      <c r="B3" s="90"/>
      <c r="C3" s="90"/>
      <c r="D3" s="90"/>
      <c r="E3" s="90"/>
      <c r="F3" s="91"/>
      <c r="H3" s="89"/>
      <c r="I3" s="90"/>
      <c r="J3" s="90"/>
      <c r="K3" s="90"/>
      <c r="L3" s="90"/>
      <c r="M3" s="90"/>
      <c r="N3" s="90"/>
      <c r="O3" s="91"/>
    </row>
    <row r="4" spans="1:15" ht="19.5" customHeight="1">
      <c r="A4" s="92"/>
      <c r="B4" s="135">
        <f>'Data Input'!B3</f>
        <v>2011</v>
      </c>
      <c r="C4" s="135">
        <f>'Data Input'!C3</f>
        <v>2012</v>
      </c>
      <c r="D4" s="135">
        <f>'Data Input'!D3</f>
        <v>2013</v>
      </c>
      <c r="E4" s="135">
        <f>'Data Input'!E3</f>
        <v>2014</v>
      </c>
      <c r="F4" s="135">
        <f>'Data Input'!F3</f>
        <v>2015</v>
      </c>
      <c r="H4" s="92"/>
      <c r="J4" s="102"/>
      <c r="K4" s="103">
        <f>L4-1</f>
        <v>2014</v>
      </c>
      <c r="L4" s="103">
        <f>IF('Data Input'!F29&lt;&gt;0,'Data Input'!F3,IF('Data Input'!E29&lt;&gt;0,'Data Input'!E3,IF('Data Input'!D29&lt;&gt;0,'Data Input'!D3,'Data Input'!C3)))</f>
        <v>2015</v>
      </c>
      <c r="M4" s="103" t="s">
        <v>12</v>
      </c>
      <c r="O4" s="93"/>
    </row>
    <row r="5" spans="1:15" ht="15" customHeight="1">
      <c r="A5" s="92" t="str">
        <f>'Data Input'!A15</f>
        <v>Total Revenues</v>
      </c>
      <c r="B5" s="93">
        <f>'Data Input'!B15</f>
        <v>806194</v>
      </c>
      <c r="C5" s="93">
        <f>'Data Input'!C15</f>
        <v>1111077</v>
      </c>
      <c r="D5" s="93">
        <f>'Data Input'!D15</f>
        <v>860526</v>
      </c>
      <c r="E5" s="93">
        <f>'Data Input'!E15</f>
        <v>1061428</v>
      </c>
      <c r="F5" s="93">
        <f>'Data Input'!F15</f>
        <v>915176</v>
      </c>
      <c r="H5" s="92"/>
      <c r="J5" s="99" t="str">
        <f>'Data Input'!A5</f>
        <v>Revenues</v>
      </c>
      <c r="K5" s="100">
        <f>HLOOKUP(K4,'Data Input'!B3:F29,13)</f>
        <v>1061428</v>
      </c>
      <c r="L5" s="100">
        <f>HLOOKUP(L4,'Data Input'!B3:F29,13)</f>
        <v>915176</v>
      </c>
      <c r="M5" s="101">
        <f>IF(K5=0,"N/A",(L5-K5)/K5)</f>
        <v>-0.1377879611240706</v>
      </c>
      <c r="O5" s="93"/>
    </row>
    <row r="6" spans="1:15" ht="15.75" customHeight="1">
      <c r="A6" s="92" t="str">
        <f>'Data Input'!A28</f>
        <v>Total Expenditures</v>
      </c>
      <c r="B6" s="93">
        <f>'Data Input'!B28</f>
        <v>805560</v>
      </c>
      <c r="C6" s="93">
        <f>'Data Input'!C28</f>
        <v>1075115</v>
      </c>
      <c r="D6" s="93">
        <f>'Data Input'!D28</f>
        <v>836776</v>
      </c>
      <c r="E6" s="93">
        <f>'Data Input'!E28</f>
        <v>1082171</v>
      </c>
      <c r="F6" s="93">
        <f>'Data Input'!F28</f>
        <v>910048</v>
      </c>
      <c r="H6" s="92"/>
      <c r="J6" s="99" t="str">
        <f>'Data Input'!A16</f>
        <v>Expenditures</v>
      </c>
      <c r="K6" s="100">
        <f>HLOOKUP(K4,'Data Input'!B3:F29,26)</f>
        <v>1082171</v>
      </c>
      <c r="L6" s="100">
        <f>HLOOKUP(L4,'Data Input'!B3:F29,26)</f>
        <v>910048</v>
      </c>
      <c r="M6" s="101">
        <f>IF(K6=0,"N/A",(L6-K6)/K6)</f>
        <v>-0.15905342131696376</v>
      </c>
      <c r="O6" s="93"/>
    </row>
    <row r="7" spans="1:15" ht="15.75" customHeight="1">
      <c r="A7" s="92" t="str">
        <f>'Data Input'!A36</f>
        <v>Total Fund Balance</v>
      </c>
      <c r="B7" s="93">
        <f>'Data Input'!B36</f>
        <v>311013</v>
      </c>
      <c r="C7" s="93">
        <f>'Data Input'!C36</f>
        <v>135975</v>
      </c>
      <c r="D7" s="93">
        <f>'Data Input'!D36</f>
        <v>159725</v>
      </c>
      <c r="E7" s="93">
        <f>'Data Input'!E36</f>
        <v>138982</v>
      </c>
      <c r="F7" s="93">
        <f>'Data Input'!F36</f>
        <v>144110</v>
      </c>
      <c r="H7" s="92"/>
      <c r="J7" s="104" t="str">
        <f>'Data Input'!A29</f>
        <v>Surplus (Shortfall)</v>
      </c>
      <c r="K7" s="100">
        <f>HLOOKUP(K4,'Data Input'!B3:F29,27)</f>
        <v>-20743</v>
      </c>
      <c r="L7" s="100">
        <f>HLOOKUP(L4,'Data Input'!B3:F29,27)</f>
        <v>5128</v>
      </c>
      <c r="M7" s="101">
        <f>IF(K7=0,"N/A",(L7-K7)/K7)</f>
        <v>-1.2472159282649569</v>
      </c>
      <c r="O7" s="93"/>
    </row>
    <row r="8" spans="1:15" ht="15" customHeight="1">
      <c r="A8" s="92"/>
      <c r="F8" s="93"/>
      <c r="H8" s="92"/>
      <c r="O8" s="93"/>
    </row>
    <row r="9" spans="1:15" ht="19.5" customHeight="1">
      <c r="A9" s="92"/>
      <c r="F9" s="93"/>
      <c r="H9" s="92"/>
      <c r="J9" s="102" t="s">
        <v>87</v>
      </c>
      <c r="K9" s="103">
        <f>L9-1</f>
        <v>2014</v>
      </c>
      <c r="L9" s="103">
        <f>IF('Data Input'!F36&lt;&gt;0,'Data Input'!F3,IF('Data Input'!E36&lt;&gt;0,'Data Input'!E3,IF('Data Input'!D36&lt;&gt;0,'Data Input'!D3,'Data Input'!C3)))</f>
        <v>2015</v>
      </c>
      <c r="M9" s="103" t="s">
        <v>12</v>
      </c>
      <c r="O9" s="93"/>
    </row>
    <row r="10" spans="1:15" ht="15" customHeight="1">
      <c r="A10" s="92"/>
      <c r="F10" s="93"/>
      <c r="H10" s="92"/>
      <c r="J10" s="99" t="str">
        <f>'Data Input'!A31</f>
        <v>Nonspendable</v>
      </c>
      <c r="K10" s="100">
        <f>HLOOKUP(K9,'Data Input'!B3:F36,29)</f>
        <v>46086</v>
      </c>
      <c r="L10" s="100">
        <f>HLOOKUP(L9,'Data Input'!B3:F36,29)</f>
        <v>36588</v>
      </c>
      <c r="M10" s="101">
        <f t="shared" ref="M10:M15" si="0">IF(K10=0,"N/A",(L10-K10)/K10)</f>
        <v>-0.20609295664627</v>
      </c>
      <c r="O10" s="93"/>
    </row>
    <row r="11" spans="1:15" ht="15" customHeight="1">
      <c r="A11" s="92"/>
      <c r="F11" s="93"/>
      <c r="H11" s="92"/>
      <c r="J11" s="99" t="str">
        <f>'Data Input'!A32</f>
        <v>Restricted</v>
      </c>
      <c r="K11" s="100">
        <f>HLOOKUP(K9,'Data Input'!B3:F36,30)</f>
        <v>677</v>
      </c>
      <c r="L11" s="100">
        <f>HLOOKUP(L9,'Data Input'!B3:F36,30)</f>
        <v>48698</v>
      </c>
      <c r="M11" s="101">
        <f t="shared" si="0"/>
        <v>70.932053175775479</v>
      </c>
      <c r="O11" s="93"/>
    </row>
    <row r="12" spans="1:15" ht="15" customHeight="1">
      <c r="A12" s="92"/>
      <c r="F12" s="93"/>
      <c r="H12" s="92"/>
      <c r="J12" s="99" t="str">
        <f>'Data Input'!A33</f>
        <v>Committed</v>
      </c>
      <c r="K12" s="100">
        <f>HLOOKUP(K9,'Data Input'!B3:F36,31)</f>
        <v>0</v>
      </c>
      <c r="L12" s="100">
        <f>HLOOKUP(L9,'Data Input'!B3:F36,31)</f>
        <v>0</v>
      </c>
      <c r="M12" s="101" t="str">
        <f t="shared" si="0"/>
        <v>N/A</v>
      </c>
      <c r="O12" s="93"/>
    </row>
    <row r="13" spans="1:15" ht="15.75" customHeight="1">
      <c r="A13" s="92"/>
      <c r="F13" s="93"/>
      <c r="H13" s="92"/>
      <c r="J13" s="99" t="str">
        <f>'Data Input'!A34</f>
        <v>Assigned</v>
      </c>
      <c r="K13" s="100">
        <f>HLOOKUP(K9,'Data Input'!B3:F36,32)</f>
        <v>0</v>
      </c>
      <c r="L13" s="100">
        <f>HLOOKUP(L9,'Data Input'!B3:F36,32)</f>
        <v>0</v>
      </c>
      <c r="M13" s="101" t="str">
        <f t="shared" si="0"/>
        <v>N/A</v>
      </c>
      <c r="O13" s="93"/>
    </row>
    <row r="14" spans="1:15" ht="15.75" customHeight="1">
      <c r="A14" s="92"/>
      <c r="F14" s="93"/>
      <c r="H14" s="92"/>
      <c r="J14" s="99" t="str">
        <f>'Data Input'!A35</f>
        <v>Unassigned</v>
      </c>
      <c r="K14" s="100">
        <f>HLOOKUP(K9,'Data Input'!B3:F36,33)</f>
        <v>92219</v>
      </c>
      <c r="L14" s="100">
        <f>HLOOKUP(L9,'Data Input'!B3:F36,33)</f>
        <v>58824</v>
      </c>
      <c r="M14" s="101">
        <f t="shared" si="0"/>
        <v>-0.36212711046530544</v>
      </c>
      <c r="O14" s="93"/>
    </row>
    <row r="15" spans="1:15" ht="15" customHeight="1">
      <c r="A15" s="92"/>
      <c r="F15" s="93"/>
      <c r="H15" s="92"/>
      <c r="J15" s="104" t="str">
        <f>'Data Input'!A36</f>
        <v>Total Fund Balance</v>
      </c>
      <c r="K15" s="100">
        <f>HLOOKUP(K9,'Data Input'!B3:F36,34)</f>
        <v>138982</v>
      </c>
      <c r="L15" s="100">
        <f>HLOOKUP(L9,'Data Input'!B3:F36,34)</f>
        <v>144110</v>
      </c>
      <c r="M15" s="101">
        <f t="shared" si="0"/>
        <v>3.6896864342145029E-2</v>
      </c>
      <c r="O15" s="93"/>
    </row>
    <row r="16" spans="1:15" ht="15" customHeight="1">
      <c r="A16" s="92"/>
      <c r="F16" s="93"/>
      <c r="H16" s="92"/>
      <c r="O16" s="93"/>
    </row>
    <row r="17" spans="1:19" ht="15" customHeight="1">
      <c r="A17" s="94"/>
      <c r="B17" s="95"/>
      <c r="C17" s="95"/>
      <c r="D17" s="95"/>
      <c r="E17" s="95"/>
      <c r="F17" s="96"/>
      <c r="H17" s="94"/>
      <c r="I17" s="95"/>
      <c r="J17" s="95"/>
      <c r="K17" s="95"/>
      <c r="L17" s="95"/>
      <c r="M17" s="95"/>
      <c r="N17" s="95"/>
      <c r="O17" s="96"/>
    </row>
    <row r="18" spans="1:19" ht="15" customHeight="1">
      <c r="A18" t="s">
        <v>208</v>
      </c>
      <c r="H18" t="s">
        <v>29</v>
      </c>
    </row>
    <row r="19" spans="1:19" ht="15" customHeight="1">
      <c r="A19" s="89"/>
      <c r="B19" s="90"/>
      <c r="C19" s="90"/>
      <c r="D19" s="90"/>
      <c r="E19" s="90"/>
      <c r="F19" s="91"/>
      <c r="H19" s="89"/>
      <c r="I19" s="90"/>
      <c r="J19" s="105">
        <f>'Data Input'!B3</f>
        <v>2011</v>
      </c>
      <c r="K19" s="105">
        <f>'Data Input'!C3</f>
        <v>2012</v>
      </c>
      <c r="L19" s="105">
        <f>'Data Input'!D3</f>
        <v>2013</v>
      </c>
      <c r="M19" s="105">
        <f>'Data Input'!E3</f>
        <v>2014</v>
      </c>
      <c r="N19" s="105">
        <f>'Data Input'!F3</f>
        <v>2015</v>
      </c>
      <c r="O19" s="91"/>
    </row>
    <row r="20" spans="1:19" ht="15" customHeight="1">
      <c r="A20" s="92"/>
      <c r="C20" s="87"/>
      <c r="D20" s="87"/>
      <c r="F20" s="93"/>
      <c r="H20" s="92"/>
      <c r="I20" t="str">
        <f>'Data Input'!A31</f>
        <v>Nonspendable</v>
      </c>
      <c r="J20">
        <f>'Data Input'!B31</f>
        <v>51853</v>
      </c>
      <c r="K20">
        <f>'Data Input'!C31</f>
        <v>46151</v>
      </c>
      <c r="L20">
        <f>'Data Input'!D31</f>
        <v>44190</v>
      </c>
      <c r="M20">
        <f>'Data Input'!E31</f>
        <v>46086</v>
      </c>
      <c r="N20">
        <f>'Data Input'!F31</f>
        <v>36588</v>
      </c>
      <c r="O20" s="93"/>
    </row>
    <row r="21" spans="1:19" ht="15" customHeight="1">
      <c r="A21" s="92"/>
      <c r="F21" s="93"/>
      <c r="H21" s="92"/>
      <c r="I21" t="str">
        <f>'Data Input'!A32</f>
        <v>Restricted</v>
      </c>
      <c r="J21">
        <f>'Data Input'!B32</f>
        <v>0</v>
      </c>
      <c r="K21">
        <f>'Data Input'!C32</f>
        <v>59768</v>
      </c>
      <c r="L21">
        <f>'Data Input'!D32</f>
        <v>25581</v>
      </c>
      <c r="M21">
        <f>'Data Input'!E32</f>
        <v>677</v>
      </c>
      <c r="N21">
        <f>'Data Input'!F32</f>
        <v>48698</v>
      </c>
      <c r="O21" s="93"/>
      <c r="S21" t="s">
        <v>25</v>
      </c>
    </row>
    <row r="22" spans="1:19" ht="15" customHeight="1">
      <c r="A22" s="92"/>
      <c r="F22" s="93"/>
      <c r="H22" s="92"/>
      <c r="I22" t="str">
        <f>'Data Input'!A33</f>
        <v>Committed</v>
      </c>
      <c r="J22">
        <f>'Data Input'!B33</f>
        <v>129580</v>
      </c>
      <c r="K22">
        <f>'Data Input'!C33</f>
        <v>0</v>
      </c>
      <c r="L22">
        <f>'Data Input'!D33</f>
        <v>0</v>
      </c>
      <c r="M22">
        <f>'Data Input'!E33</f>
        <v>0</v>
      </c>
      <c r="N22">
        <f>'Data Input'!F33</f>
        <v>0</v>
      </c>
      <c r="O22" s="93"/>
    </row>
    <row r="23" spans="1:19" ht="15" customHeight="1">
      <c r="A23" s="92"/>
      <c r="F23" s="93"/>
      <c r="H23" s="92"/>
      <c r="I23" t="str">
        <f>'Data Input'!A34</f>
        <v>Assigned</v>
      </c>
      <c r="J23">
        <f>'Data Input'!B34</f>
        <v>79816</v>
      </c>
      <c r="K23">
        <f>'Data Input'!C34</f>
        <v>0</v>
      </c>
      <c r="L23">
        <f>'Data Input'!D34</f>
        <v>0</v>
      </c>
      <c r="M23">
        <f>'Data Input'!E34</f>
        <v>0</v>
      </c>
      <c r="N23">
        <f>'Data Input'!F34</f>
        <v>0</v>
      </c>
      <c r="O23" s="93"/>
    </row>
    <row r="24" spans="1:19" ht="15" customHeight="1">
      <c r="A24" s="92"/>
      <c r="F24" s="93"/>
      <c r="H24" s="92"/>
      <c r="I24" t="str">
        <f>'Data Input'!A35</f>
        <v>Unassigned</v>
      </c>
      <c r="J24">
        <f>'Data Input'!B35</f>
        <v>49764</v>
      </c>
      <c r="K24">
        <f>'Data Input'!C35</f>
        <v>30056</v>
      </c>
      <c r="L24">
        <f>'Data Input'!D35</f>
        <v>89954</v>
      </c>
      <c r="M24">
        <f>'Data Input'!E35</f>
        <v>92219</v>
      </c>
      <c r="N24">
        <f>'Data Input'!F35</f>
        <v>58824</v>
      </c>
      <c r="O24" s="93"/>
    </row>
    <row r="25" spans="1:19" ht="15" customHeight="1">
      <c r="A25" s="92"/>
      <c r="F25" s="93"/>
      <c r="H25" s="92"/>
      <c r="O25" s="93"/>
    </row>
    <row r="26" spans="1:19" ht="15" customHeight="1">
      <c r="A26" s="92"/>
      <c r="F26" s="93"/>
      <c r="H26" s="92"/>
      <c r="O26" s="93"/>
    </row>
    <row r="27" spans="1:19" ht="15" customHeight="1">
      <c r="A27" s="92"/>
      <c r="F27" s="93"/>
      <c r="H27" s="92"/>
      <c r="O27" s="93"/>
    </row>
    <row r="28" spans="1:19" ht="15" customHeight="1">
      <c r="A28" s="92"/>
      <c r="F28" s="93"/>
      <c r="H28" s="92"/>
      <c r="O28" s="93"/>
    </row>
    <row r="29" spans="1:19" ht="15" customHeight="1">
      <c r="A29" s="92"/>
      <c r="F29" s="93"/>
      <c r="H29" s="92"/>
      <c r="O29" s="93"/>
    </row>
    <row r="30" spans="1:19" ht="15" customHeight="1">
      <c r="A30" s="92"/>
      <c r="F30" s="93"/>
      <c r="H30" s="92"/>
      <c r="O30" s="93"/>
    </row>
    <row r="31" spans="1:19" ht="15" customHeight="1">
      <c r="A31" s="92"/>
      <c r="F31" s="93"/>
      <c r="H31" s="92"/>
      <c r="O31" s="93"/>
    </row>
    <row r="32" spans="1:19" ht="15" customHeight="1">
      <c r="A32" s="92"/>
      <c r="F32" s="93"/>
      <c r="H32" s="92"/>
      <c r="O32" s="93"/>
    </row>
    <row r="33" spans="1:21" ht="15" customHeight="1">
      <c r="A33" s="94"/>
      <c r="B33" s="95"/>
      <c r="C33" s="95"/>
      <c r="D33" s="95"/>
      <c r="E33" s="95"/>
      <c r="F33" s="96"/>
      <c r="H33" s="94"/>
      <c r="I33" s="95"/>
      <c r="J33" s="95"/>
      <c r="K33" s="95"/>
      <c r="L33" s="95"/>
      <c r="M33" s="95"/>
      <c r="N33" s="95"/>
      <c r="O33" s="96"/>
    </row>
    <row r="35" spans="1:21" ht="19.5" customHeight="1">
      <c r="A35" s="152" t="s">
        <v>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4"/>
      <c r="P35" s="13"/>
      <c r="Q35" s="13"/>
      <c r="R35" s="13"/>
      <c r="S35" s="13"/>
      <c r="T35" s="13"/>
      <c r="U35" s="13"/>
    </row>
    <row r="36" spans="1:21" ht="19.5" customHeight="1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7"/>
      <c r="P36" s="13"/>
      <c r="Q36" s="13"/>
      <c r="R36" s="13"/>
      <c r="S36" s="13"/>
      <c r="T36" s="13"/>
      <c r="U36" s="13"/>
    </row>
    <row r="37" spans="1:21" ht="19.5" customHeight="1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60"/>
      <c r="P37" s="13"/>
      <c r="Q37" s="13"/>
      <c r="R37" s="13"/>
      <c r="S37" s="13"/>
      <c r="T37" s="13"/>
      <c r="U37" s="13"/>
    </row>
    <row r="38" spans="1:21" ht="15" customHeight="1">
      <c r="A38" t="str">
        <f>CONCATENATE("For more information on our unit's finances, contact ",'Data Input'!B69," at ",'Data Input'!B70,".")</f>
        <v>For more information on our unit's finances, contact Robert Poirier at 906-296-9911.</v>
      </c>
    </row>
    <row r="40" spans="1:21" ht="15" customHeight="1">
      <c r="A40" t="s">
        <v>206</v>
      </c>
    </row>
    <row r="41" spans="1:21" ht="15" customHeight="1">
      <c r="A41" t="s">
        <v>64</v>
      </c>
    </row>
  </sheetData>
  <sheetProtection sheet="1"/>
  <mergeCells count="2">
    <mergeCell ref="A1:O1"/>
    <mergeCell ref="A35:O37"/>
  </mergeCells>
  <printOptions horizontalCentered="1"/>
  <pageMargins left="0.2" right="0.2" top="0.5" bottom="0.5" header="0.25" footer="0.25"/>
  <pageSetup scale="86" orientation="landscape"/>
  <headerFooter alignWithMargins="0">
    <oddFooter>&amp;L&amp;"Calibri,Bold"CITIZEN'S GUIDE TO LOCAL UNIT FINANCES&amp;R&amp;"Calibri,Bold"&amp;A -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W41"/>
  <sheetViews>
    <sheetView zoomScale="85" zoomScaleNormal="85" workbookViewId="0">
      <selection activeCell="Z35" sqref="Z35"/>
    </sheetView>
  </sheetViews>
  <sheetFormatPr defaultColWidth="9" defaultRowHeight="15" customHeight="1"/>
  <cols>
    <col min="1" max="1" width="9.140625" customWidth="1"/>
    <col min="2" max="2" width="9" customWidth="1"/>
    <col min="3" max="6" width="2.85546875" customWidth="1"/>
    <col min="7" max="7" width="4.85546875" customWidth="1"/>
    <col min="8" max="8" width="9" customWidth="1"/>
    <col min="9" max="9" width="2.42578125" customWidth="1"/>
    <col min="10" max="12" width="9" customWidth="1"/>
    <col min="13" max="16" width="2.85546875" customWidth="1"/>
    <col min="17" max="17" width="5.140625" customWidth="1"/>
    <col min="18" max="18" width="8.5703125" customWidth="1"/>
    <col min="19" max="19" width="12.85546875" customWidth="1"/>
    <col min="20" max="20" width="10.42578125" customWidth="1"/>
    <col min="21" max="21" width="10.85546875" customWidth="1"/>
    <col min="22" max="22" width="15.140625" customWidth="1"/>
    <col min="23" max="23" width="15" customWidth="1"/>
  </cols>
  <sheetData>
    <row r="1" spans="1:23" ht="15" customHeight="1">
      <c r="A1" s="151" t="str">
        <f>'Data Input'!A1:H1</f>
        <v>CITIZENS' GUIDE TO LOCAL UNIT FINANCES - Lake Linden - Houghton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6.5" customHeight="1">
      <c r="A2" t="s">
        <v>132</v>
      </c>
      <c r="I2" s="2" t="s">
        <v>148</v>
      </c>
      <c r="Q2" s="3"/>
      <c r="S2" t="s">
        <v>91</v>
      </c>
    </row>
    <row r="3" spans="1:23" ht="16.5" customHeight="1">
      <c r="A3" s="89"/>
      <c r="B3" s="90"/>
      <c r="C3" s="90"/>
      <c r="D3" s="90"/>
      <c r="E3" s="90"/>
      <c r="F3" s="90"/>
      <c r="G3" s="90"/>
      <c r="H3" s="91"/>
      <c r="J3" s="89"/>
      <c r="K3" s="90"/>
      <c r="L3" s="90"/>
      <c r="M3" s="90"/>
      <c r="N3" s="90"/>
      <c r="O3" s="90"/>
      <c r="P3" s="90"/>
      <c r="Q3" s="91"/>
      <c r="S3" s="89"/>
      <c r="T3" s="90"/>
      <c r="U3" s="90"/>
      <c r="V3" s="90"/>
      <c r="W3" s="91"/>
    </row>
    <row r="4" spans="1:23" ht="16.5" customHeight="1">
      <c r="A4" s="92"/>
      <c r="C4" s="87">
        <f>'Data Input'!B3</f>
        <v>2011</v>
      </c>
      <c r="D4" s="87">
        <f>'Data Input'!C3</f>
        <v>2012</v>
      </c>
      <c r="E4" s="87">
        <f>'Data Input'!D3</f>
        <v>2013</v>
      </c>
      <c r="F4" s="87">
        <f>'Data Input'!E3</f>
        <v>2014</v>
      </c>
      <c r="G4" s="87">
        <f>'Data Input'!F3</f>
        <v>2015</v>
      </c>
      <c r="H4" s="93"/>
      <c r="J4" s="92"/>
      <c r="L4" s="87">
        <f>'Data Input'!B3</f>
        <v>2011</v>
      </c>
      <c r="M4" s="87">
        <f>'Data Input'!C3</f>
        <v>2012</v>
      </c>
      <c r="N4" s="87">
        <f>'Data Input'!D3</f>
        <v>2013</v>
      </c>
      <c r="O4" s="87">
        <f>'Data Input'!E3</f>
        <v>2014</v>
      </c>
      <c r="P4" s="87">
        <f>'Data Input'!F3</f>
        <v>2015</v>
      </c>
      <c r="Q4" s="93"/>
      <c r="S4" s="92"/>
      <c r="U4" s="123">
        <f>LARGE('Data Input'!B39:F39,2)</f>
        <v>41639</v>
      </c>
      <c r="V4" s="123">
        <f>LARGE('Data Input'!B39:F39,1)</f>
        <v>42004</v>
      </c>
      <c r="W4" s="93"/>
    </row>
    <row r="5" spans="1:23" ht="16.5" customHeight="1">
      <c r="A5" s="92"/>
      <c r="B5" t="str">
        <f>'Data Input'!A40</f>
        <v>Assets</v>
      </c>
      <c r="C5">
        <f>'Data Input'!B40</f>
        <v>701518</v>
      </c>
      <c r="D5">
        <f>'Data Input'!C40</f>
        <v>709642</v>
      </c>
      <c r="E5">
        <f>'Data Input'!D40</f>
        <v>703559</v>
      </c>
      <c r="F5">
        <f>'Data Input'!E40</f>
        <v>698585</v>
      </c>
      <c r="G5">
        <f>'Data Input'!F40</f>
        <v>704531</v>
      </c>
      <c r="H5" s="93"/>
      <c r="J5" s="92"/>
      <c r="K5" t="str">
        <f>'Data Input'!A46</f>
        <v>Assets</v>
      </c>
      <c r="L5">
        <f>'Data Input'!B46</f>
        <v>0</v>
      </c>
      <c r="M5">
        <f>'Data Input'!C46</f>
        <v>0</v>
      </c>
      <c r="N5">
        <f>'Data Input'!D46</f>
        <v>0</v>
      </c>
      <c r="O5">
        <f>'Data Input'!E46</f>
        <v>0</v>
      </c>
      <c r="P5">
        <f>'Data Input'!F46</f>
        <v>0</v>
      </c>
      <c r="Q5" s="93"/>
      <c r="S5" s="92"/>
      <c r="T5" t="str">
        <f>'Data Input'!A38</f>
        <v>Pensions</v>
      </c>
      <c r="U5" s="124">
        <f>HLOOKUP(U4,'Data Input'!B39:F54,5)</f>
        <v>0.61106411937436744</v>
      </c>
      <c r="V5" s="124">
        <f>HLOOKUP(V4,'Data Input'!B39:F54,5)</f>
        <v>0.60065903336089965</v>
      </c>
      <c r="W5" s="93"/>
    </row>
    <row r="6" spans="1:23" ht="16.5" customHeight="1">
      <c r="A6" s="92"/>
      <c r="B6" t="str">
        <f>'Data Input'!A41</f>
        <v>Actuarial Liability</v>
      </c>
      <c r="C6">
        <f>'Data Input'!B41</f>
        <v>1003854</v>
      </c>
      <c r="D6">
        <f>'Data Input'!C41</f>
        <v>1060648</v>
      </c>
      <c r="E6">
        <f>'Data Input'!D41</f>
        <v>1086732</v>
      </c>
      <c r="F6">
        <f>'Data Input'!E41</f>
        <v>1143227</v>
      </c>
      <c r="G6">
        <f>'Data Input'!F41</f>
        <v>1172930</v>
      </c>
      <c r="H6" s="93"/>
      <c r="J6" s="92"/>
      <c r="K6" t="str">
        <f>'Data Input'!A47</f>
        <v>Actuarial Liability</v>
      </c>
      <c r="L6">
        <f>'Data Input'!B47</f>
        <v>0</v>
      </c>
      <c r="M6">
        <f>'Data Input'!C47</f>
        <v>0</v>
      </c>
      <c r="N6">
        <f>'Data Input'!D47</f>
        <v>0</v>
      </c>
      <c r="O6">
        <f>'Data Input'!E47</f>
        <v>0</v>
      </c>
      <c r="P6">
        <f>'Data Input'!F47</f>
        <v>0</v>
      </c>
      <c r="Q6" s="93"/>
      <c r="S6" s="92"/>
      <c r="T6" t="str">
        <f>'Data Input'!A44</f>
        <v>OPEB</v>
      </c>
      <c r="U6" s="124" t="e">
        <f>HLOOKUP(U4,'Data Input'!B39:F54,11)</f>
        <v>#DIV/0!</v>
      </c>
      <c r="V6" s="124" t="e">
        <f>HLOOKUP(V4,'Data Input'!B39:F54,11)</f>
        <v>#DIV/0!</v>
      </c>
      <c r="W6" s="93"/>
    </row>
    <row r="7" spans="1:23" ht="16.5" customHeight="1">
      <c r="A7" s="92"/>
      <c r="H7" s="93"/>
      <c r="J7" s="92"/>
      <c r="Q7" s="93"/>
      <c r="S7" s="92"/>
      <c r="T7" t="str">
        <f>'Data Input'!A50</f>
        <v>Sum of All Pension &amp; OPEB Plans</v>
      </c>
      <c r="U7" s="124">
        <f>HLOOKUP(U4,'Data Input'!B39:F54,16)</f>
        <v>0.61106411937436744</v>
      </c>
      <c r="V7" s="124">
        <f>HLOOKUP(V4,'Data Input'!B39:F54,16)</f>
        <v>0.60065903336089965</v>
      </c>
      <c r="W7" s="93"/>
    </row>
    <row r="8" spans="1:23" ht="16.5" customHeight="1">
      <c r="A8" s="92"/>
      <c r="H8" s="93"/>
      <c r="J8" s="92"/>
      <c r="Q8" s="93"/>
      <c r="S8" s="92"/>
      <c r="W8" s="93"/>
    </row>
    <row r="9" spans="1:23" ht="16.5" customHeight="1">
      <c r="A9" s="92"/>
      <c r="H9" s="93"/>
      <c r="J9" s="92"/>
      <c r="Q9" s="93"/>
      <c r="S9" s="92"/>
      <c r="W9" s="93"/>
    </row>
    <row r="10" spans="1:23" ht="16.5" customHeight="1">
      <c r="A10" s="92"/>
      <c r="H10" s="93"/>
      <c r="J10" s="92"/>
      <c r="Q10" s="93"/>
      <c r="S10" s="92"/>
      <c r="W10" s="93"/>
    </row>
    <row r="11" spans="1:23" ht="16.5" customHeight="1">
      <c r="A11" s="92"/>
      <c r="H11" s="93"/>
      <c r="J11" s="92"/>
      <c r="Q11" s="93"/>
      <c r="S11" s="92"/>
      <c r="W11" s="93"/>
    </row>
    <row r="12" spans="1:23" ht="16.5" customHeight="1">
      <c r="A12" s="92"/>
      <c r="H12" s="93"/>
      <c r="J12" s="92"/>
      <c r="Q12" s="93"/>
      <c r="S12" s="92"/>
      <c r="W12" s="93"/>
    </row>
    <row r="13" spans="1:23" ht="16.5" customHeight="1">
      <c r="A13" s="92"/>
      <c r="H13" s="93"/>
      <c r="J13" s="92"/>
      <c r="Q13" s="93"/>
      <c r="S13" s="92"/>
      <c r="W13" s="93"/>
    </row>
    <row r="14" spans="1:23" ht="16.5" customHeight="1">
      <c r="A14" s="92"/>
      <c r="H14" s="93"/>
      <c r="J14" s="92"/>
      <c r="Q14" s="93"/>
      <c r="S14" s="92"/>
      <c r="W14" s="93"/>
    </row>
    <row r="15" spans="1:23" ht="16.5" customHeight="1">
      <c r="A15" s="92"/>
      <c r="H15" s="93"/>
      <c r="J15" s="92"/>
      <c r="Q15" s="93"/>
      <c r="S15" s="92"/>
      <c r="W15" s="93"/>
    </row>
    <row r="16" spans="1:23" ht="16.5" customHeight="1">
      <c r="A16" s="92"/>
      <c r="H16" s="93"/>
      <c r="J16" s="92"/>
      <c r="Q16" s="93"/>
      <c r="S16" s="92"/>
      <c r="W16" s="93"/>
    </row>
    <row r="17" spans="1:23" ht="16.5" customHeight="1">
      <c r="A17" s="94"/>
      <c r="B17" s="95"/>
      <c r="C17" s="95"/>
      <c r="D17" s="95"/>
      <c r="E17" s="95"/>
      <c r="F17" s="95"/>
      <c r="G17" s="95"/>
      <c r="H17" s="96"/>
      <c r="J17" s="94"/>
      <c r="K17" s="95"/>
      <c r="L17" s="95"/>
      <c r="M17" s="95"/>
      <c r="N17" s="95"/>
      <c r="O17" s="95"/>
      <c r="P17" s="95"/>
      <c r="Q17" s="96"/>
      <c r="S17" s="94"/>
      <c r="T17" s="95"/>
      <c r="U17" s="95"/>
      <c r="V17" s="95"/>
      <c r="W17" s="96"/>
    </row>
    <row r="18" spans="1:23" ht="16.5" customHeight="1">
      <c r="A18" t="s">
        <v>193</v>
      </c>
      <c r="O18" s="1"/>
      <c r="P18" t="s">
        <v>131</v>
      </c>
    </row>
    <row r="19" spans="1:23" ht="16.5" customHeight="1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  <c r="P19" s="89"/>
      <c r="Q19" s="90"/>
      <c r="R19" s="90"/>
      <c r="S19" s="90"/>
      <c r="T19" s="90"/>
      <c r="U19" s="90"/>
      <c r="V19" s="90"/>
      <c r="W19" s="91"/>
    </row>
    <row r="20" spans="1:23" ht="16.5" customHeight="1">
      <c r="A20" s="92"/>
      <c r="C20" s="87">
        <f>'Data Input'!B3</f>
        <v>2011</v>
      </c>
      <c r="D20" s="87">
        <f>'Data Input'!C3</f>
        <v>2012</v>
      </c>
      <c r="E20" s="87">
        <f>'Data Input'!D3</f>
        <v>2013</v>
      </c>
      <c r="F20" s="87">
        <f>'Data Input'!E3</f>
        <v>2014</v>
      </c>
      <c r="G20" s="87">
        <f>'Data Input'!F3</f>
        <v>2015</v>
      </c>
      <c r="N20" s="93"/>
      <c r="P20" s="92"/>
      <c r="R20" s="87">
        <f>'Data Input'!G3</f>
        <v>2014</v>
      </c>
      <c r="S20" s="87">
        <f>'Data Input'!H3</f>
        <v>2015</v>
      </c>
      <c r="W20" s="93"/>
    </row>
    <row r="21" spans="1:23" ht="16.5" customHeight="1">
      <c r="A21" s="92"/>
      <c r="B21" t="str">
        <f>'Data Input'!A59</f>
        <v>Structured Debt</v>
      </c>
      <c r="C21">
        <f>'Data Input'!B59</f>
        <v>930000</v>
      </c>
      <c r="D21">
        <f>'Data Input'!C59</f>
        <v>895000</v>
      </c>
      <c r="E21">
        <f>'Data Input'!D59</f>
        <v>860000</v>
      </c>
      <c r="F21">
        <f>'Data Input'!E59</f>
        <v>825000</v>
      </c>
      <c r="G21">
        <f>'Data Input'!F59</f>
        <v>858020</v>
      </c>
      <c r="N21" s="93"/>
      <c r="P21" s="92"/>
      <c r="Q21" t="str">
        <f>'Data Input'!A59</f>
        <v>Structured Debt</v>
      </c>
      <c r="R21" s="137">
        <f>'Data Input'!G59</f>
        <v>829.97987927565396</v>
      </c>
      <c r="S21" s="137">
        <f>'Data Input'!H59</f>
        <v>866.68686868686871</v>
      </c>
      <c r="W21" s="93"/>
    </row>
    <row r="22" spans="1:23" ht="16.5" customHeight="1">
      <c r="A22" s="92"/>
      <c r="B22" t="str">
        <f>'Data Input'!A60</f>
        <v>Employee Compensated Absences</v>
      </c>
      <c r="C22">
        <f>'Data Input'!B60</f>
        <v>28872</v>
      </c>
      <c r="D22">
        <f>'Data Input'!C60</f>
        <v>32718</v>
      </c>
      <c r="E22">
        <f>'Data Input'!D60</f>
        <v>16389</v>
      </c>
      <c r="F22">
        <f>'Data Input'!E60</f>
        <v>0</v>
      </c>
      <c r="G22">
        <f>'Data Input'!F60</f>
        <v>10202</v>
      </c>
      <c r="N22" s="93"/>
      <c r="P22" s="92"/>
      <c r="Q22" t="str">
        <f>'Data Input'!A60</f>
        <v>Employee Compensated Absences</v>
      </c>
      <c r="R22" s="137">
        <f>'Data Input'!G60</f>
        <v>0</v>
      </c>
      <c r="S22" s="137">
        <f>'Data Input'!H60</f>
        <v>10.305050505050506</v>
      </c>
      <c r="W22" s="93"/>
    </row>
    <row r="23" spans="1:23" ht="16.5" customHeight="1">
      <c r="A23" s="92"/>
      <c r="B23" t="str">
        <f>'Data Input'!A61</f>
        <v>Landfill Closure &amp; Postclosure Care</v>
      </c>
      <c r="C23">
        <f>'Data Input'!B61</f>
        <v>0</v>
      </c>
      <c r="D23">
        <f>'Data Input'!C61</f>
        <v>0</v>
      </c>
      <c r="E23">
        <f>'Data Input'!D61</f>
        <v>0</v>
      </c>
      <c r="F23">
        <f>'Data Input'!E61</f>
        <v>0</v>
      </c>
      <c r="G23">
        <f>'Data Input'!F61</f>
        <v>0</v>
      </c>
      <c r="N23" s="93"/>
      <c r="P23" s="92"/>
      <c r="Q23" t="str">
        <f>'Data Input'!A61</f>
        <v>Landfill Closure &amp; Postclosure Care</v>
      </c>
      <c r="R23" s="137">
        <f>'Data Input'!G61</f>
        <v>0</v>
      </c>
      <c r="S23" s="137">
        <f>'Data Input'!H61</f>
        <v>0</v>
      </c>
      <c r="W23" s="93"/>
    </row>
    <row r="24" spans="1:23" ht="16.5" customHeight="1">
      <c r="A24" s="92"/>
      <c r="B24" t="str">
        <f>'Data Input'!A62</f>
        <v>Uninsured Losses</v>
      </c>
      <c r="C24">
        <f>'Data Input'!B62</f>
        <v>0</v>
      </c>
      <c r="D24">
        <f>'Data Input'!C62</f>
        <v>0</v>
      </c>
      <c r="E24">
        <f>'Data Input'!D62</f>
        <v>0</v>
      </c>
      <c r="F24">
        <f>'Data Input'!E62</f>
        <v>0</v>
      </c>
      <c r="G24">
        <f>'Data Input'!F62</f>
        <v>0</v>
      </c>
      <c r="N24" s="93"/>
      <c r="P24" s="92"/>
      <c r="Q24" t="str">
        <f>'Data Input'!A62</f>
        <v>Uninsured Losses</v>
      </c>
      <c r="R24" s="137">
        <f>'Data Input'!G62</f>
        <v>0</v>
      </c>
      <c r="S24" s="137">
        <f>'Data Input'!H62</f>
        <v>0</v>
      </c>
      <c r="W24" s="93"/>
    </row>
    <row r="25" spans="1:23" ht="16.5" customHeight="1">
      <c r="A25" s="92"/>
      <c r="B25" t="str">
        <f>'Data Input'!A63</f>
        <v>Other Claims &amp; Contingencies</v>
      </c>
      <c r="C25">
        <f>'Data Input'!B63</f>
        <v>0</v>
      </c>
      <c r="D25">
        <f>'Data Input'!C63</f>
        <v>0</v>
      </c>
      <c r="E25">
        <f>'Data Input'!D63</f>
        <v>0</v>
      </c>
      <c r="F25">
        <f>'Data Input'!E63</f>
        <v>0</v>
      </c>
      <c r="G25">
        <f>'Data Input'!F63</f>
        <v>0</v>
      </c>
      <c r="N25" s="93"/>
      <c r="P25" s="92"/>
      <c r="Q25" t="str">
        <f>'Data Input'!A63</f>
        <v>Other Claims &amp; Contingencies</v>
      </c>
      <c r="R25" s="137">
        <f>'Data Input'!G63</f>
        <v>0</v>
      </c>
      <c r="S25" s="137">
        <f>'Data Input'!H63</f>
        <v>0</v>
      </c>
      <c r="W25" s="93"/>
    </row>
    <row r="26" spans="1:23" ht="16.5" customHeight="1">
      <c r="A26" s="92"/>
      <c r="N26" s="93"/>
      <c r="P26" s="92"/>
      <c r="W26" s="93"/>
    </row>
    <row r="27" spans="1:23" ht="16.5" customHeight="1">
      <c r="A27" s="92"/>
      <c r="N27" s="93"/>
      <c r="P27" s="92"/>
      <c r="W27" s="93"/>
    </row>
    <row r="28" spans="1:23" ht="16.5" customHeight="1">
      <c r="A28" s="92"/>
      <c r="N28" s="93"/>
      <c r="P28" s="92"/>
      <c r="W28" s="93"/>
    </row>
    <row r="29" spans="1:23" ht="16.5" customHeight="1">
      <c r="A29" s="92"/>
      <c r="N29" s="93"/>
      <c r="P29" s="92"/>
      <c r="W29" s="93"/>
    </row>
    <row r="30" spans="1:23" ht="16.5" customHeight="1">
      <c r="A30" s="92"/>
      <c r="N30" s="93"/>
      <c r="P30" s="92"/>
      <c r="W30" s="93"/>
    </row>
    <row r="31" spans="1:23" ht="16.5" customHeight="1">
      <c r="A31" s="92"/>
      <c r="N31" s="93"/>
      <c r="P31" s="92"/>
      <c r="W31" s="93"/>
    </row>
    <row r="32" spans="1:23" ht="16.5" customHeight="1">
      <c r="A32" s="92"/>
      <c r="N32" s="93"/>
      <c r="P32" s="92"/>
      <c r="W32" s="93"/>
    </row>
    <row r="33" spans="1:23" ht="16.5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P33" s="94"/>
      <c r="Q33" s="95"/>
      <c r="R33" s="95"/>
      <c r="S33" s="95"/>
      <c r="T33" s="95"/>
      <c r="U33" s="95"/>
      <c r="V33" s="95"/>
      <c r="W33" s="96"/>
    </row>
    <row r="34" spans="1:23" ht="16.5" customHeight="1"/>
    <row r="35" spans="1:23" ht="23.25" customHeight="1">
      <c r="A35" s="141" t="s">
        <v>7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3"/>
    </row>
    <row r="36" spans="1:23" ht="23.2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6"/>
    </row>
    <row r="37" spans="1:23" ht="23.25" customHeight="1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9"/>
    </row>
    <row r="38" spans="1:23" ht="15" customHeight="1">
      <c r="A38" t="str">
        <f>CONCATENATE("For more information on our unit's finances, contact ",'Data Input'!B69," at ",'Data Input'!B70,".")</f>
        <v>For more information on our unit's finances, contact Robert Poirier at 906-296-9911.</v>
      </c>
    </row>
    <row r="40" spans="1:23" ht="15" customHeight="1">
      <c r="A40" t="s">
        <v>195</v>
      </c>
    </row>
    <row r="41" spans="1:23" ht="15" customHeight="1">
      <c r="A41" t="s">
        <v>64</v>
      </c>
    </row>
  </sheetData>
  <sheetProtection sheet="1"/>
  <mergeCells count="2">
    <mergeCell ref="A35:W37"/>
    <mergeCell ref="A1:W1"/>
  </mergeCells>
  <printOptions horizontalCentered="1"/>
  <pageMargins left="0.2" right="0.2" top="0.5" bottom="0.5" header="0.25" footer="0.25"/>
  <pageSetup scale="83" orientation="landscape"/>
  <headerFooter alignWithMargins="0">
    <oddFooter>&amp;L&amp;"Calibri,Bold"CITIZEN'S GUIDE TO LOCAL UNIT FINANCES&amp;R&amp;"Calibri,Bold"&amp;A -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H139"/>
  <sheetViews>
    <sheetView tabSelected="1" workbookViewId="0">
      <selection activeCell="D134" sqref="D134"/>
    </sheetView>
  </sheetViews>
  <sheetFormatPr defaultColWidth="9" defaultRowHeight="15"/>
  <cols>
    <col min="1" max="1" width="9.140625" customWidth="1"/>
    <col min="2" max="2" width="36" style="49" customWidth="1"/>
    <col min="3" max="3" width="18.7109375" style="49" customWidth="1"/>
    <col min="4" max="8" width="16.28515625" customWidth="1"/>
  </cols>
  <sheetData>
    <row r="1" spans="1:8" ht="17.25">
      <c r="A1" s="125" t="s">
        <v>109</v>
      </c>
      <c r="B1" s="126" t="s">
        <v>177</v>
      </c>
      <c r="C1" s="126" t="s">
        <v>73</v>
      </c>
      <c r="D1" s="127">
        <v>2011</v>
      </c>
      <c r="E1" s="127">
        <v>2012</v>
      </c>
      <c r="F1" s="127">
        <v>2013</v>
      </c>
      <c r="G1" s="127">
        <v>2014</v>
      </c>
      <c r="H1" s="127">
        <v>2015</v>
      </c>
    </row>
    <row r="2" spans="1:8">
      <c r="A2" s="128"/>
      <c r="B2" s="129" t="s">
        <v>108</v>
      </c>
      <c r="C2" s="129"/>
      <c r="D2" s="128"/>
      <c r="E2" s="128"/>
      <c r="F2" s="128"/>
      <c r="G2" s="128"/>
      <c r="H2" s="128"/>
    </row>
    <row r="3" spans="1:8">
      <c r="A3" s="128"/>
      <c r="B3" s="130" t="s">
        <v>68</v>
      </c>
      <c r="C3" s="130"/>
      <c r="D3" s="128"/>
      <c r="E3" s="128"/>
      <c r="F3" s="128"/>
      <c r="G3" s="128"/>
      <c r="H3" s="128"/>
    </row>
    <row r="4" spans="1:8">
      <c r="A4" s="128">
        <v>101</v>
      </c>
      <c r="B4" s="130" t="s">
        <v>19</v>
      </c>
      <c r="C4" s="131" t="s">
        <v>141</v>
      </c>
      <c r="D4" s="132">
        <v>153084</v>
      </c>
      <c r="E4" s="132">
        <v>176746</v>
      </c>
      <c r="F4" s="132">
        <v>173627</v>
      </c>
      <c r="G4" s="132">
        <v>187087</v>
      </c>
      <c r="H4" s="132">
        <v>177084</v>
      </c>
    </row>
    <row r="5" spans="1:8">
      <c r="A5" s="128">
        <v>102</v>
      </c>
      <c r="B5" s="130" t="s">
        <v>201</v>
      </c>
      <c r="C5" s="131" t="s">
        <v>141</v>
      </c>
      <c r="D5" s="132">
        <v>0</v>
      </c>
      <c r="E5" s="132">
        <v>0</v>
      </c>
      <c r="F5" s="132">
        <v>0</v>
      </c>
      <c r="G5" s="132">
        <v>0</v>
      </c>
      <c r="H5" s="132">
        <v>0</v>
      </c>
    </row>
    <row r="6" spans="1:8">
      <c r="A6" s="128">
        <v>103</v>
      </c>
      <c r="B6" s="130" t="s">
        <v>81</v>
      </c>
      <c r="C6" s="131" t="s">
        <v>141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</row>
    <row r="7" spans="1:8">
      <c r="A7" s="128">
        <v>104</v>
      </c>
      <c r="B7" s="130" t="s">
        <v>153</v>
      </c>
      <c r="C7" s="131" t="s">
        <v>141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</row>
    <row r="8" spans="1:8">
      <c r="A8" s="128">
        <v>105</v>
      </c>
      <c r="B8" s="130" t="s">
        <v>185</v>
      </c>
      <c r="C8" s="131" t="s">
        <v>141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</row>
    <row r="9" spans="1:8">
      <c r="A9" s="128">
        <v>106</v>
      </c>
      <c r="B9" s="130" t="s">
        <v>34</v>
      </c>
      <c r="C9" s="131" t="s">
        <v>141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8">
      <c r="A10" s="128">
        <v>107</v>
      </c>
      <c r="B10" s="130" t="s">
        <v>48</v>
      </c>
      <c r="C10" s="131" t="s">
        <v>141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</row>
    <row r="11" spans="1:8">
      <c r="A11" s="128">
        <v>108</v>
      </c>
      <c r="B11" s="130" t="s">
        <v>86</v>
      </c>
      <c r="C11" s="131" t="s">
        <v>40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</row>
    <row r="12" spans="1:8">
      <c r="A12" s="128">
        <v>109</v>
      </c>
      <c r="B12" s="130" t="s">
        <v>169</v>
      </c>
      <c r="C12" s="131" t="s">
        <v>40</v>
      </c>
      <c r="D12" s="132">
        <v>16447</v>
      </c>
      <c r="E12" s="132">
        <v>15319</v>
      </c>
      <c r="F12" s="132">
        <v>16363</v>
      </c>
      <c r="G12" s="132">
        <v>16982</v>
      </c>
      <c r="H12" s="132">
        <v>17149</v>
      </c>
    </row>
    <row r="13" spans="1:8" ht="30">
      <c r="A13" s="128">
        <v>110</v>
      </c>
      <c r="B13" s="130" t="s">
        <v>134</v>
      </c>
      <c r="C13" s="131" t="s">
        <v>93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</row>
    <row r="14" spans="1:8" ht="30">
      <c r="A14" s="128">
        <v>111</v>
      </c>
      <c r="B14" s="130" t="s">
        <v>17</v>
      </c>
      <c r="C14" s="131" t="s">
        <v>93</v>
      </c>
      <c r="D14" s="132">
        <v>0</v>
      </c>
      <c r="E14" s="132">
        <v>0</v>
      </c>
      <c r="F14" s="132">
        <v>0</v>
      </c>
      <c r="G14" s="132">
        <v>0</v>
      </c>
      <c r="H14" s="132">
        <v>21999</v>
      </c>
    </row>
    <row r="15" spans="1:8" ht="30">
      <c r="A15" s="128">
        <v>112</v>
      </c>
      <c r="B15" s="130" t="s">
        <v>56</v>
      </c>
      <c r="C15" s="131" t="s">
        <v>93</v>
      </c>
      <c r="D15" s="132">
        <v>0</v>
      </c>
      <c r="E15" s="132">
        <v>0</v>
      </c>
      <c r="F15" s="132">
        <v>0</v>
      </c>
      <c r="G15" s="132">
        <v>38531</v>
      </c>
      <c r="H15" s="132">
        <v>0</v>
      </c>
    </row>
    <row r="16" spans="1:8" ht="30">
      <c r="A16" s="128">
        <v>113</v>
      </c>
      <c r="B16" s="130" t="s">
        <v>5</v>
      </c>
      <c r="C16" s="131" t="s">
        <v>93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</row>
    <row r="17" spans="1:8" ht="30">
      <c r="A17" s="128">
        <v>114</v>
      </c>
      <c r="B17" s="130" t="s">
        <v>4</v>
      </c>
      <c r="C17" s="131" t="s">
        <v>93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</row>
    <row r="18" spans="1:8" ht="30">
      <c r="A18" s="128">
        <v>115</v>
      </c>
      <c r="B18" s="130" t="s">
        <v>187</v>
      </c>
      <c r="C18" s="131" t="s">
        <v>93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</row>
    <row r="19" spans="1:8" ht="30">
      <c r="A19" s="128">
        <v>116</v>
      </c>
      <c r="B19" s="130" t="s">
        <v>92</v>
      </c>
      <c r="C19" s="131" t="s">
        <v>93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</row>
    <row r="20" spans="1:8" ht="30">
      <c r="A20" s="128">
        <v>117</v>
      </c>
      <c r="B20" s="130" t="s">
        <v>202</v>
      </c>
      <c r="C20" s="131" t="s">
        <v>93</v>
      </c>
      <c r="D20" s="132">
        <v>5000</v>
      </c>
      <c r="E20" s="132">
        <v>278319</v>
      </c>
      <c r="F20" s="132">
        <v>5000</v>
      </c>
      <c r="G20" s="132">
        <v>111711</v>
      </c>
      <c r="H20" s="132">
        <v>0</v>
      </c>
    </row>
    <row r="21" spans="1:8" ht="30">
      <c r="A21" s="128">
        <v>118</v>
      </c>
      <c r="B21" s="130" t="s">
        <v>104</v>
      </c>
      <c r="C21" s="131" t="s">
        <v>93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</row>
    <row r="22" spans="1:8" ht="30">
      <c r="A22" s="128">
        <v>119</v>
      </c>
      <c r="B22" s="130" t="s">
        <v>144</v>
      </c>
      <c r="C22" s="131" t="s">
        <v>93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</row>
    <row r="23" spans="1:8" ht="30">
      <c r="A23" s="128">
        <v>120</v>
      </c>
      <c r="B23" s="130" t="s">
        <v>69</v>
      </c>
      <c r="C23" s="131" t="s">
        <v>93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</row>
    <row r="24" spans="1:8" ht="30">
      <c r="A24" s="128">
        <v>121</v>
      </c>
      <c r="B24" s="130" t="s">
        <v>11</v>
      </c>
      <c r="C24" s="131" t="s">
        <v>93</v>
      </c>
      <c r="D24" s="132">
        <v>16154</v>
      </c>
      <c r="E24" s="132">
        <v>0</v>
      </c>
      <c r="F24" s="132">
        <v>0</v>
      </c>
      <c r="G24" s="132">
        <v>0</v>
      </c>
      <c r="H24" s="132">
        <v>0</v>
      </c>
    </row>
    <row r="25" spans="1:8">
      <c r="A25" s="128">
        <v>122</v>
      </c>
      <c r="B25" s="130" t="s">
        <v>80</v>
      </c>
      <c r="C25" s="131" t="s">
        <v>6</v>
      </c>
      <c r="D25" s="132">
        <v>111922</v>
      </c>
      <c r="E25" s="132">
        <v>110167</v>
      </c>
      <c r="F25" s="132">
        <v>104449</v>
      </c>
      <c r="G25" s="132">
        <v>107851</v>
      </c>
      <c r="H25" s="132">
        <v>110838</v>
      </c>
    </row>
    <row r="26" spans="1:8">
      <c r="A26" s="128">
        <v>123</v>
      </c>
      <c r="B26" s="130" t="s">
        <v>28</v>
      </c>
      <c r="C26" s="131" t="s">
        <v>6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</row>
    <row r="27" spans="1:8">
      <c r="A27" s="128">
        <v>124</v>
      </c>
      <c r="B27" s="130" t="s">
        <v>94</v>
      </c>
      <c r="C27" s="131" t="s">
        <v>6</v>
      </c>
      <c r="D27" s="132">
        <v>7090</v>
      </c>
      <c r="E27" s="132">
        <v>8252</v>
      </c>
      <c r="F27" s="132">
        <v>9115</v>
      </c>
      <c r="G27" s="132">
        <v>0</v>
      </c>
      <c r="H27" s="132">
        <v>8637</v>
      </c>
    </row>
    <row r="28" spans="1:8">
      <c r="A28" s="128">
        <v>125</v>
      </c>
      <c r="B28" s="130" t="s">
        <v>116</v>
      </c>
      <c r="C28" s="131" t="s">
        <v>6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</row>
    <row r="29" spans="1:8">
      <c r="A29" s="128">
        <v>126</v>
      </c>
      <c r="B29" s="130" t="s">
        <v>89</v>
      </c>
      <c r="C29" s="131" t="s">
        <v>6</v>
      </c>
      <c r="D29" s="132">
        <v>1922</v>
      </c>
      <c r="E29" s="132">
        <v>1555</v>
      </c>
      <c r="F29" s="132">
        <v>1250</v>
      </c>
      <c r="G29" s="132">
        <v>0</v>
      </c>
      <c r="H29" s="132">
        <v>1703</v>
      </c>
    </row>
    <row r="30" spans="1:8">
      <c r="A30" s="128">
        <v>127</v>
      </c>
      <c r="B30" s="130" t="s">
        <v>152</v>
      </c>
      <c r="C30" s="131" t="s">
        <v>6</v>
      </c>
      <c r="D30" s="132">
        <v>109661</v>
      </c>
      <c r="E30" s="132">
        <v>102483</v>
      </c>
      <c r="F30" s="132">
        <v>125397</v>
      </c>
      <c r="G30" s="132">
        <v>157016</v>
      </c>
      <c r="H30" s="132">
        <v>126575</v>
      </c>
    </row>
    <row r="31" spans="1:8">
      <c r="A31" s="128">
        <v>128</v>
      </c>
      <c r="B31" s="130" t="s">
        <v>122</v>
      </c>
      <c r="C31" s="131" t="s">
        <v>6</v>
      </c>
      <c r="D31" s="132">
        <v>0</v>
      </c>
      <c r="E31" s="132">
        <v>23808</v>
      </c>
      <c r="F31" s="132">
        <v>30764</v>
      </c>
      <c r="G31" s="132">
        <v>11557</v>
      </c>
      <c r="H31" s="132">
        <v>43692</v>
      </c>
    </row>
    <row r="32" spans="1:8">
      <c r="A32" s="128">
        <v>129</v>
      </c>
      <c r="B32" s="130" t="s">
        <v>110</v>
      </c>
      <c r="C32" s="131" t="s">
        <v>6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</row>
    <row r="33" spans="1:8">
      <c r="A33" s="128">
        <v>130</v>
      </c>
      <c r="B33" s="130" t="s">
        <v>3</v>
      </c>
      <c r="C33" s="131" t="s">
        <v>6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</row>
    <row r="34" spans="1:8">
      <c r="A34" s="128">
        <v>131</v>
      </c>
      <c r="B34" s="130" t="s">
        <v>179</v>
      </c>
      <c r="C34" s="131" t="s">
        <v>6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</row>
    <row r="35" spans="1:8">
      <c r="A35" s="128">
        <v>132</v>
      </c>
      <c r="B35" s="130" t="s">
        <v>33</v>
      </c>
      <c r="C35" s="131" t="s">
        <v>6</v>
      </c>
      <c r="D35" s="132">
        <v>0</v>
      </c>
      <c r="E35" s="132">
        <v>0</v>
      </c>
      <c r="F35" s="132">
        <v>0</v>
      </c>
      <c r="G35" s="132">
        <v>66</v>
      </c>
      <c r="H35" s="132">
        <v>13348</v>
      </c>
    </row>
    <row r="36" spans="1:8" ht="30">
      <c r="A36" s="128">
        <v>133</v>
      </c>
      <c r="B36" s="130" t="s">
        <v>119</v>
      </c>
      <c r="C36" s="131" t="s">
        <v>6</v>
      </c>
      <c r="D36" s="132">
        <v>0</v>
      </c>
      <c r="E36" s="132">
        <v>0</v>
      </c>
      <c r="F36" s="132">
        <v>2152</v>
      </c>
      <c r="G36" s="132">
        <v>0</v>
      </c>
      <c r="H36" s="132">
        <v>0</v>
      </c>
    </row>
    <row r="37" spans="1:8">
      <c r="A37" s="128">
        <v>134</v>
      </c>
      <c r="B37" s="130" t="s">
        <v>168</v>
      </c>
      <c r="C37" s="131" t="s">
        <v>6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</row>
    <row r="38" spans="1:8">
      <c r="A38" s="128">
        <v>135</v>
      </c>
      <c r="B38" s="130" t="s">
        <v>54</v>
      </c>
      <c r="C38" s="131" t="s">
        <v>6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</row>
    <row r="39" spans="1:8">
      <c r="A39" s="128">
        <v>136</v>
      </c>
      <c r="B39" s="130" t="s">
        <v>188</v>
      </c>
      <c r="C39" s="131" t="s">
        <v>6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</row>
    <row r="40" spans="1:8">
      <c r="A40" s="128">
        <v>137</v>
      </c>
      <c r="B40" s="130" t="s">
        <v>135</v>
      </c>
      <c r="C40" s="131" t="s">
        <v>6</v>
      </c>
      <c r="D40" s="132">
        <v>3946</v>
      </c>
      <c r="E40" s="132">
        <v>0</v>
      </c>
      <c r="F40" s="132">
        <v>0</v>
      </c>
      <c r="G40" s="132">
        <v>0</v>
      </c>
      <c r="H40" s="132">
        <v>0</v>
      </c>
    </row>
    <row r="41" spans="1:8">
      <c r="A41" s="128">
        <v>138</v>
      </c>
      <c r="B41" s="130" t="s">
        <v>167</v>
      </c>
      <c r="C41" s="131" t="s">
        <v>75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</row>
    <row r="42" spans="1:8">
      <c r="A42" s="128">
        <v>139</v>
      </c>
      <c r="B42" s="130" t="s">
        <v>88</v>
      </c>
      <c r="C42" s="131" t="s">
        <v>75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</row>
    <row r="43" spans="1:8">
      <c r="A43" s="128">
        <v>140</v>
      </c>
      <c r="B43" s="130" t="s">
        <v>58</v>
      </c>
      <c r="C43" s="131" t="s">
        <v>75</v>
      </c>
      <c r="D43" s="132">
        <v>13794</v>
      </c>
      <c r="E43" s="132">
        <v>13717</v>
      </c>
      <c r="F43" s="132">
        <v>13367</v>
      </c>
      <c r="G43" s="132">
        <v>0</v>
      </c>
      <c r="H43" s="132">
        <v>13442</v>
      </c>
    </row>
    <row r="44" spans="1:8">
      <c r="A44" s="128">
        <v>141</v>
      </c>
      <c r="B44" s="130" t="s">
        <v>198</v>
      </c>
      <c r="C44" s="131" t="s">
        <v>75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</row>
    <row r="45" spans="1:8" ht="30">
      <c r="A45" s="128">
        <v>142</v>
      </c>
      <c r="B45" s="130" t="s">
        <v>18</v>
      </c>
      <c r="C45" s="131" t="s">
        <v>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</row>
    <row r="46" spans="1:8">
      <c r="A46" s="128">
        <v>143</v>
      </c>
      <c r="B46" s="130" t="s">
        <v>176</v>
      </c>
      <c r="C46" s="131" t="s">
        <v>75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</row>
    <row r="47" spans="1:8">
      <c r="A47" s="128">
        <v>144</v>
      </c>
      <c r="B47" s="130" t="s">
        <v>123</v>
      </c>
      <c r="C47" s="131" t="s">
        <v>75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</row>
    <row r="48" spans="1:8" ht="30">
      <c r="A48" s="128">
        <v>145</v>
      </c>
      <c r="B48" s="130" t="s">
        <v>26</v>
      </c>
      <c r="C48" s="131" t="s">
        <v>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</row>
    <row r="49" spans="1:8">
      <c r="A49" s="128">
        <v>146</v>
      </c>
      <c r="B49" s="130" t="s">
        <v>78</v>
      </c>
      <c r="C49" s="131" t="s">
        <v>75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</row>
    <row r="50" spans="1:8">
      <c r="A50" s="128">
        <v>147</v>
      </c>
      <c r="B50" s="130" t="s">
        <v>83</v>
      </c>
      <c r="C50" s="131" t="s">
        <v>75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</row>
    <row r="51" spans="1:8">
      <c r="A51" s="128">
        <v>148</v>
      </c>
      <c r="B51" s="130" t="s">
        <v>70</v>
      </c>
      <c r="C51" s="131" t="s">
        <v>75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</row>
    <row r="52" spans="1:8" ht="30">
      <c r="A52" s="128">
        <v>149</v>
      </c>
      <c r="B52" s="130" t="s">
        <v>38</v>
      </c>
      <c r="C52" s="131" t="s">
        <v>166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</row>
    <row r="53" spans="1:8" ht="30">
      <c r="A53" s="128">
        <v>150</v>
      </c>
      <c r="B53" s="130" t="s">
        <v>39</v>
      </c>
      <c r="C53" s="131" t="s">
        <v>166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</row>
    <row r="54" spans="1:8" ht="30">
      <c r="A54" s="128">
        <v>151</v>
      </c>
      <c r="B54" s="130" t="s">
        <v>155</v>
      </c>
      <c r="C54" s="131" t="s">
        <v>166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</row>
    <row r="55" spans="1:8" ht="30">
      <c r="A55" s="128">
        <v>152</v>
      </c>
      <c r="B55" s="130" t="s">
        <v>61</v>
      </c>
      <c r="C55" s="131" t="s">
        <v>166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</row>
    <row r="56" spans="1:8" ht="30">
      <c r="A56" s="128">
        <v>153</v>
      </c>
      <c r="B56" s="130" t="s">
        <v>100</v>
      </c>
      <c r="C56" s="131" t="s">
        <v>166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</row>
    <row r="57" spans="1:8" ht="30">
      <c r="A57" s="128">
        <v>154</v>
      </c>
      <c r="B57" s="130" t="s">
        <v>133</v>
      </c>
      <c r="C57" s="131" t="s">
        <v>166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</row>
    <row r="58" spans="1:8" ht="30">
      <c r="A58" s="128">
        <v>155</v>
      </c>
      <c r="B58" s="130" t="s">
        <v>210</v>
      </c>
      <c r="C58" s="131" t="s">
        <v>166</v>
      </c>
      <c r="D58" s="132">
        <v>6000</v>
      </c>
      <c r="E58" s="132">
        <v>6000</v>
      </c>
      <c r="F58" s="132">
        <v>0</v>
      </c>
      <c r="G58" s="132">
        <v>0</v>
      </c>
      <c r="H58" s="132">
        <v>0</v>
      </c>
    </row>
    <row r="59" spans="1:8" ht="30">
      <c r="A59" s="128">
        <v>156</v>
      </c>
      <c r="B59" s="130" t="s">
        <v>126</v>
      </c>
      <c r="C59" s="131" t="s">
        <v>166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</row>
    <row r="60" spans="1:8" ht="30">
      <c r="A60" s="128">
        <v>157</v>
      </c>
      <c r="B60" s="130" t="s">
        <v>30</v>
      </c>
      <c r="C60" s="131" t="s">
        <v>166</v>
      </c>
      <c r="D60" s="132">
        <v>3029</v>
      </c>
      <c r="E60" s="132">
        <v>4872</v>
      </c>
      <c r="F60" s="132">
        <v>9666</v>
      </c>
      <c r="G60" s="132">
        <v>11962</v>
      </c>
      <c r="H60" s="132">
        <v>10730</v>
      </c>
    </row>
    <row r="61" spans="1:8" ht="30">
      <c r="A61" s="128">
        <v>158</v>
      </c>
      <c r="B61" s="130" t="s">
        <v>117</v>
      </c>
      <c r="C61" s="131" t="s">
        <v>166</v>
      </c>
      <c r="D61" s="132">
        <v>22785</v>
      </c>
      <c r="E61" s="132">
        <v>24322</v>
      </c>
      <c r="F61" s="132">
        <v>22798</v>
      </c>
      <c r="G61" s="132">
        <v>24051</v>
      </c>
      <c r="H61" s="132">
        <v>22747</v>
      </c>
    </row>
    <row r="62" spans="1:8" ht="30">
      <c r="A62" s="128">
        <v>159</v>
      </c>
      <c r="B62" s="130" t="s">
        <v>76</v>
      </c>
      <c r="C62" s="131" t="s">
        <v>166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</row>
    <row r="63" spans="1:8" ht="30">
      <c r="A63" s="128">
        <v>160</v>
      </c>
      <c r="B63" s="130" t="s">
        <v>77</v>
      </c>
      <c r="C63" s="131" t="s">
        <v>166</v>
      </c>
      <c r="D63" s="132">
        <v>7915</v>
      </c>
      <c r="E63" s="132">
        <v>0</v>
      </c>
      <c r="F63" s="132">
        <v>0</v>
      </c>
      <c r="G63" s="132">
        <v>0</v>
      </c>
      <c r="H63" s="132">
        <v>0</v>
      </c>
    </row>
    <row r="64" spans="1:8">
      <c r="A64" s="128">
        <v>161</v>
      </c>
      <c r="B64" s="130" t="s">
        <v>42</v>
      </c>
      <c r="C64" s="131" t="s">
        <v>0</v>
      </c>
      <c r="D64" s="132">
        <v>265</v>
      </c>
      <c r="E64" s="132">
        <v>1338</v>
      </c>
      <c r="F64" s="132">
        <v>596</v>
      </c>
      <c r="G64" s="132">
        <v>1263</v>
      </c>
      <c r="H64" s="132">
        <v>869</v>
      </c>
    </row>
    <row r="65" spans="1:8">
      <c r="A65" s="128">
        <v>162</v>
      </c>
      <c r="B65" s="130" t="s">
        <v>157</v>
      </c>
      <c r="C65" s="131" t="s">
        <v>121</v>
      </c>
      <c r="D65" s="132">
        <v>5</v>
      </c>
      <c r="E65" s="132">
        <v>10</v>
      </c>
      <c r="F65" s="132">
        <v>7</v>
      </c>
      <c r="G65" s="132">
        <v>7</v>
      </c>
      <c r="H65" s="132">
        <v>7</v>
      </c>
    </row>
    <row r="66" spans="1:8">
      <c r="A66" s="128">
        <v>163</v>
      </c>
      <c r="B66" s="130" t="s">
        <v>192</v>
      </c>
      <c r="C66" s="131" t="s">
        <v>121</v>
      </c>
      <c r="D66" s="132">
        <v>125795</v>
      </c>
      <c r="E66" s="132">
        <v>147456</v>
      </c>
      <c r="F66" s="132">
        <v>166493</v>
      </c>
      <c r="G66" s="132">
        <v>171268</v>
      </c>
      <c r="H66" s="132">
        <v>99028</v>
      </c>
    </row>
    <row r="67" spans="1:8">
      <c r="A67" s="128">
        <v>164</v>
      </c>
      <c r="B67" s="130" t="s">
        <v>57</v>
      </c>
      <c r="C67" s="131" t="s">
        <v>1</v>
      </c>
      <c r="D67" s="132">
        <v>70833</v>
      </c>
      <c r="E67" s="132">
        <v>96368</v>
      </c>
      <c r="F67" s="132">
        <v>98585</v>
      </c>
      <c r="G67" s="132">
        <v>136921</v>
      </c>
      <c r="H67" s="132">
        <v>73074</v>
      </c>
    </row>
    <row r="68" spans="1:8">
      <c r="A68" s="128">
        <v>165</v>
      </c>
      <c r="B68" s="130" t="s">
        <v>143</v>
      </c>
      <c r="C68" s="131" t="s">
        <v>1</v>
      </c>
      <c r="D68" s="132">
        <v>0</v>
      </c>
      <c r="E68" s="132">
        <v>0</v>
      </c>
      <c r="F68" s="132">
        <v>0</v>
      </c>
      <c r="G68" s="132">
        <v>0</v>
      </c>
      <c r="H68" s="132">
        <v>0</v>
      </c>
    </row>
    <row r="69" spans="1:8">
      <c r="A69" s="128">
        <v>166</v>
      </c>
      <c r="B69" s="130" t="s">
        <v>186</v>
      </c>
      <c r="C69" s="131" t="s">
        <v>1</v>
      </c>
      <c r="D69" s="132">
        <v>0</v>
      </c>
      <c r="E69" s="132">
        <v>0</v>
      </c>
      <c r="F69" s="132">
        <v>0</v>
      </c>
      <c r="G69" s="132">
        <v>0</v>
      </c>
      <c r="H69" s="132">
        <v>15651</v>
      </c>
    </row>
    <row r="70" spans="1:8">
      <c r="A70" s="128">
        <v>167</v>
      </c>
      <c r="B70" s="130" t="s">
        <v>199</v>
      </c>
      <c r="C70" s="131" t="s">
        <v>1</v>
      </c>
      <c r="D70" s="132">
        <v>43050</v>
      </c>
      <c r="E70" s="132">
        <v>14894</v>
      </c>
      <c r="F70" s="132">
        <v>4540</v>
      </c>
      <c r="G70" s="132">
        <v>0</v>
      </c>
      <c r="H70" s="132">
        <v>0</v>
      </c>
    </row>
    <row r="71" spans="1:8">
      <c r="A71" s="128">
        <v>168</v>
      </c>
      <c r="B71" s="130" t="s">
        <v>207</v>
      </c>
      <c r="C71" s="131" t="s">
        <v>1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</row>
    <row r="72" spans="1:8">
      <c r="A72" s="128">
        <v>169</v>
      </c>
      <c r="B72" s="130" t="s">
        <v>102</v>
      </c>
      <c r="C72" s="131" t="s">
        <v>1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</row>
    <row r="73" spans="1:8">
      <c r="A73" s="128">
        <v>170</v>
      </c>
      <c r="B73" s="130" t="s">
        <v>106</v>
      </c>
      <c r="C73" s="131" t="s">
        <v>1</v>
      </c>
      <c r="D73" s="132">
        <v>0</v>
      </c>
      <c r="E73" s="132">
        <v>0</v>
      </c>
      <c r="F73" s="132">
        <v>0</v>
      </c>
      <c r="G73" s="132">
        <v>0</v>
      </c>
      <c r="H73" s="132">
        <v>37236</v>
      </c>
    </row>
    <row r="74" spans="1:8">
      <c r="A74" s="128">
        <v>171</v>
      </c>
      <c r="B74" s="130" t="s">
        <v>162</v>
      </c>
      <c r="C74" s="131" t="s">
        <v>1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</row>
    <row r="75" spans="1:8">
      <c r="A75" s="128">
        <v>172</v>
      </c>
      <c r="B75" s="130" t="s">
        <v>49</v>
      </c>
      <c r="C75" s="131" t="s">
        <v>1</v>
      </c>
      <c r="D75" s="132">
        <v>87497</v>
      </c>
      <c r="E75" s="132">
        <v>85451</v>
      </c>
      <c r="F75" s="132">
        <v>76357</v>
      </c>
      <c r="G75" s="132">
        <v>85155</v>
      </c>
      <c r="H75" s="132">
        <v>121367</v>
      </c>
    </row>
    <row r="76" spans="1:8">
      <c r="A76" s="128"/>
      <c r="B76" s="134"/>
      <c r="C76" s="134"/>
      <c r="D76" s="138"/>
      <c r="E76" s="138"/>
      <c r="F76" s="138"/>
      <c r="G76" s="138"/>
      <c r="H76" s="138"/>
    </row>
    <row r="77" spans="1:8">
      <c r="A77" s="128"/>
      <c r="B77" s="130" t="s">
        <v>43</v>
      </c>
      <c r="C77" s="130"/>
      <c r="D77" s="42"/>
      <c r="E77" s="42"/>
      <c r="F77" s="42"/>
      <c r="G77" s="42"/>
      <c r="H77" s="42"/>
    </row>
    <row r="78" spans="1:8" ht="30">
      <c r="A78" s="128">
        <v>201</v>
      </c>
      <c r="B78" s="130" t="s">
        <v>149</v>
      </c>
      <c r="C78" s="131" t="s">
        <v>59</v>
      </c>
      <c r="D78" s="132">
        <v>8351</v>
      </c>
      <c r="E78" s="132">
        <v>4114</v>
      </c>
      <c r="F78" s="132">
        <v>7868</v>
      </c>
      <c r="G78" s="132">
        <v>6773</v>
      </c>
      <c r="H78" s="132">
        <v>7030</v>
      </c>
    </row>
    <row r="79" spans="1:8" ht="30">
      <c r="A79" s="128">
        <v>202</v>
      </c>
      <c r="B79" s="130" t="s">
        <v>10</v>
      </c>
      <c r="C79" s="131" t="s">
        <v>59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</row>
    <row r="80" spans="1:8" ht="30">
      <c r="A80" s="128">
        <v>203</v>
      </c>
      <c r="B80" s="130" t="s">
        <v>178</v>
      </c>
      <c r="C80" s="131" t="s">
        <v>59</v>
      </c>
      <c r="D80" s="132">
        <v>2125</v>
      </c>
      <c r="E80" s="132">
        <v>1500</v>
      </c>
      <c r="F80" s="132">
        <v>1980</v>
      </c>
      <c r="G80" s="132">
        <v>1625</v>
      </c>
      <c r="H80" s="132">
        <v>1500</v>
      </c>
    </row>
    <row r="81" spans="1:8" ht="30">
      <c r="A81" s="128">
        <v>204</v>
      </c>
      <c r="B81" s="130" t="s">
        <v>142</v>
      </c>
      <c r="C81" s="131" t="s">
        <v>59</v>
      </c>
      <c r="D81" s="132">
        <v>9228</v>
      </c>
      <c r="E81" s="132">
        <v>10349</v>
      </c>
      <c r="F81" s="132">
        <v>10940</v>
      </c>
      <c r="G81" s="132">
        <v>10622</v>
      </c>
      <c r="H81" s="132">
        <v>10563</v>
      </c>
    </row>
    <row r="82" spans="1:8" ht="30">
      <c r="A82" s="128">
        <v>205</v>
      </c>
      <c r="B82" s="130" t="s">
        <v>120</v>
      </c>
      <c r="C82" s="131" t="s">
        <v>59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</row>
    <row r="83" spans="1:8" ht="30">
      <c r="A83" s="128">
        <v>206</v>
      </c>
      <c r="B83" s="130" t="s">
        <v>16</v>
      </c>
      <c r="C83" s="131" t="s">
        <v>59</v>
      </c>
      <c r="D83" s="132">
        <v>27592</v>
      </c>
      <c r="E83" s="132">
        <v>29002</v>
      </c>
      <c r="F83" s="132">
        <v>32144</v>
      </c>
      <c r="G83" s="132">
        <v>34001</v>
      </c>
      <c r="H83" s="132">
        <v>35632</v>
      </c>
    </row>
    <row r="84" spans="1:8" ht="30">
      <c r="A84" s="128">
        <v>207</v>
      </c>
      <c r="B84" s="130" t="s">
        <v>21</v>
      </c>
      <c r="C84" s="131" t="s">
        <v>59</v>
      </c>
      <c r="D84" s="132">
        <v>1443</v>
      </c>
      <c r="E84" s="132">
        <v>0</v>
      </c>
      <c r="F84" s="132">
        <v>691</v>
      </c>
      <c r="G84" s="132">
        <v>0</v>
      </c>
      <c r="H84" s="132">
        <v>330</v>
      </c>
    </row>
    <row r="85" spans="1:8" ht="30">
      <c r="A85" s="128">
        <v>208</v>
      </c>
      <c r="B85" s="130" t="s">
        <v>74</v>
      </c>
      <c r="C85" s="131" t="s">
        <v>59</v>
      </c>
      <c r="D85" s="132">
        <v>0</v>
      </c>
      <c r="E85" s="132">
        <v>0</v>
      </c>
      <c r="F85" s="132">
        <v>0</v>
      </c>
      <c r="G85" s="132">
        <v>0</v>
      </c>
      <c r="H85" s="132">
        <v>0</v>
      </c>
    </row>
    <row r="86" spans="1:8" ht="30">
      <c r="A86" s="128">
        <v>209</v>
      </c>
      <c r="B86" s="130" t="s">
        <v>147</v>
      </c>
      <c r="C86" s="131" t="s">
        <v>59</v>
      </c>
      <c r="D86" s="132">
        <v>17814</v>
      </c>
      <c r="E86" s="132">
        <v>17038</v>
      </c>
      <c r="F86" s="132">
        <v>15693</v>
      </c>
      <c r="G86" s="132">
        <v>22243</v>
      </c>
      <c r="H86" s="132">
        <v>23728</v>
      </c>
    </row>
    <row r="87" spans="1:8" ht="30">
      <c r="A87" s="128">
        <v>210</v>
      </c>
      <c r="B87" s="130" t="s">
        <v>27</v>
      </c>
      <c r="C87" s="131" t="s">
        <v>37</v>
      </c>
      <c r="D87" s="132">
        <v>0</v>
      </c>
      <c r="E87" s="132">
        <v>0</v>
      </c>
      <c r="F87" s="132">
        <v>775</v>
      </c>
      <c r="G87" s="132">
        <v>0</v>
      </c>
      <c r="H87" s="132">
        <v>0</v>
      </c>
    </row>
    <row r="88" spans="1:8">
      <c r="A88" s="128">
        <v>211</v>
      </c>
      <c r="B88" s="130" t="s">
        <v>67</v>
      </c>
      <c r="C88" s="131" t="s">
        <v>62</v>
      </c>
      <c r="D88" s="132">
        <v>41728</v>
      </c>
      <c r="E88" s="132">
        <v>54830</v>
      </c>
      <c r="F88" s="132">
        <v>49924</v>
      </c>
      <c r="G88" s="132">
        <v>51056</v>
      </c>
      <c r="H88" s="132">
        <v>61640</v>
      </c>
    </row>
    <row r="89" spans="1:8">
      <c r="A89" s="128">
        <v>212</v>
      </c>
      <c r="B89" s="130" t="s">
        <v>190</v>
      </c>
      <c r="C89" s="131" t="s">
        <v>62</v>
      </c>
      <c r="D89" s="132">
        <v>7297</v>
      </c>
      <c r="E89" s="132">
        <v>6950</v>
      </c>
      <c r="F89" s="132">
        <v>6187</v>
      </c>
      <c r="G89" s="132">
        <v>13174</v>
      </c>
      <c r="H89" s="132">
        <v>8124</v>
      </c>
    </row>
    <row r="90" spans="1:8">
      <c r="A90" s="128">
        <v>213</v>
      </c>
      <c r="B90" s="130" t="s">
        <v>98</v>
      </c>
      <c r="C90" s="131" t="s">
        <v>62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</row>
    <row r="91" spans="1:8">
      <c r="A91" s="128">
        <v>214</v>
      </c>
      <c r="B91" s="130" t="s">
        <v>175</v>
      </c>
      <c r="C91" s="131" t="s">
        <v>62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</row>
    <row r="92" spans="1:8">
      <c r="A92" s="128">
        <v>215</v>
      </c>
      <c r="B92" s="130" t="s">
        <v>24</v>
      </c>
      <c r="C92" s="131" t="s">
        <v>62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</row>
    <row r="93" spans="1:8">
      <c r="A93" s="128">
        <v>216</v>
      </c>
      <c r="B93" s="130" t="s">
        <v>183</v>
      </c>
      <c r="C93" s="131" t="s">
        <v>127</v>
      </c>
      <c r="D93" s="132">
        <v>0</v>
      </c>
      <c r="E93" s="132">
        <v>0</v>
      </c>
      <c r="F93" s="132">
        <v>0</v>
      </c>
      <c r="G93" s="132">
        <v>0</v>
      </c>
      <c r="H93" s="132">
        <v>0</v>
      </c>
    </row>
    <row r="94" spans="1:8">
      <c r="A94" s="128">
        <v>217</v>
      </c>
      <c r="B94" s="130" t="s">
        <v>44</v>
      </c>
      <c r="C94" s="131" t="s">
        <v>127</v>
      </c>
      <c r="D94" s="132">
        <v>4576</v>
      </c>
      <c r="E94" s="132">
        <v>4532</v>
      </c>
      <c r="F94" s="132">
        <v>4347</v>
      </c>
      <c r="G94" s="132">
        <v>4329</v>
      </c>
      <c r="H94" s="132">
        <v>4793</v>
      </c>
    </row>
    <row r="95" spans="1:8">
      <c r="A95" s="128">
        <v>218</v>
      </c>
      <c r="B95" s="130" t="s">
        <v>160</v>
      </c>
      <c r="C95" s="131" t="s">
        <v>45</v>
      </c>
      <c r="D95" s="132">
        <v>54743</v>
      </c>
      <c r="E95" s="132">
        <v>71841</v>
      </c>
      <c r="F95" s="132">
        <v>80962</v>
      </c>
      <c r="G95" s="132">
        <v>82709</v>
      </c>
      <c r="H95" s="132">
        <v>92877</v>
      </c>
    </row>
    <row r="96" spans="1:8">
      <c r="A96" s="128">
        <v>219</v>
      </c>
      <c r="B96" s="130" t="s">
        <v>171</v>
      </c>
      <c r="C96" s="131" t="s">
        <v>180</v>
      </c>
      <c r="D96" s="132">
        <v>188815</v>
      </c>
      <c r="E96" s="132">
        <v>193609</v>
      </c>
      <c r="F96" s="132">
        <v>245930</v>
      </c>
      <c r="G96" s="132">
        <v>318355</v>
      </c>
      <c r="H96" s="132">
        <v>172381</v>
      </c>
    </row>
    <row r="97" spans="1:8">
      <c r="A97" s="128">
        <v>220</v>
      </c>
      <c r="B97" s="130" t="s">
        <v>63</v>
      </c>
      <c r="C97" s="131" t="s">
        <v>45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</row>
    <row r="98" spans="1:8">
      <c r="A98" s="128">
        <v>221</v>
      </c>
      <c r="B98" s="130" t="s">
        <v>82</v>
      </c>
      <c r="C98" s="131" t="s">
        <v>45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</row>
    <row r="99" spans="1:8">
      <c r="A99" s="128">
        <v>222</v>
      </c>
      <c r="B99" s="130" t="s">
        <v>189</v>
      </c>
      <c r="C99" s="131" t="s">
        <v>45</v>
      </c>
      <c r="D99" s="132">
        <v>21692</v>
      </c>
      <c r="E99" s="132">
        <v>30128</v>
      </c>
      <c r="F99" s="132">
        <v>28646</v>
      </c>
      <c r="G99" s="132">
        <v>32923</v>
      </c>
      <c r="H99" s="132">
        <v>35066</v>
      </c>
    </row>
    <row r="100" spans="1:8">
      <c r="A100" s="128">
        <v>223</v>
      </c>
      <c r="B100" s="130" t="s">
        <v>159</v>
      </c>
      <c r="C100" s="131" t="s">
        <v>45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</row>
    <row r="101" spans="1:8">
      <c r="A101" s="128">
        <v>224</v>
      </c>
      <c r="B101" s="130" t="s">
        <v>161</v>
      </c>
      <c r="C101" s="131" t="s">
        <v>45</v>
      </c>
      <c r="D101" s="132">
        <v>0</v>
      </c>
      <c r="E101" s="132">
        <v>0</v>
      </c>
      <c r="F101" s="132">
        <v>0</v>
      </c>
      <c r="G101" s="132">
        <v>0</v>
      </c>
      <c r="H101" s="132">
        <v>0</v>
      </c>
    </row>
    <row r="102" spans="1:8">
      <c r="A102" s="128">
        <v>225</v>
      </c>
      <c r="B102" s="130" t="s">
        <v>194</v>
      </c>
      <c r="C102" s="131" t="s">
        <v>45</v>
      </c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</row>
    <row r="103" spans="1:8">
      <c r="A103" s="128">
        <v>226</v>
      </c>
      <c r="B103" s="130" t="s">
        <v>8</v>
      </c>
      <c r="C103" s="131" t="s">
        <v>45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</row>
    <row r="104" spans="1:8">
      <c r="A104" s="128">
        <v>227</v>
      </c>
      <c r="B104" s="130" t="s">
        <v>14</v>
      </c>
      <c r="C104" s="131" t="s">
        <v>9</v>
      </c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</row>
    <row r="105" spans="1:8">
      <c r="A105" s="128">
        <v>228</v>
      </c>
      <c r="B105" s="130" t="s">
        <v>99</v>
      </c>
      <c r="C105" s="131" t="s">
        <v>9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</row>
    <row r="106" spans="1:8">
      <c r="A106" s="128">
        <v>229</v>
      </c>
      <c r="B106" s="130" t="s">
        <v>105</v>
      </c>
      <c r="C106" s="131" t="s">
        <v>9</v>
      </c>
      <c r="D106" s="132">
        <v>0</v>
      </c>
      <c r="E106" s="132">
        <v>0</v>
      </c>
      <c r="F106" s="132">
        <v>0</v>
      </c>
      <c r="G106" s="132">
        <v>0</v>
      </c>
      <c r="H106" s="132">
        <v>0</v>
      </c>
    </row>
    <row r="107" spans="1:8">
      <c r="A107" s="128">
        <v>230</v>
      </c>
      <c r="B107" s="130" t="s">
        <v>71</v>
      </c>
      <c r="C107" s="131" t="s">
        <v>9</v>
      </c>
      <c r="D107" s="132">
        <v>0</v>
      </c>
      <c r="E107" s="132">
        <v>0</v>
      </c>
      <c r="F107" s="132">
        <v>0</v>
      </c>
      <c r="G107" s="132">
        <v>0</v>
      </c>
      <c r="H107" s="132">
        <v>0</v>
      </c>
    </row>
    <row r="108" spans="1:8">
      <c r="A108" s="128">
        <v>231</v>
      </c>
      <c r="B108" s="130" t="s">
        <v>140</v>
      </c>
      <c r="C108" s="131" t="s">
        <v>9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</row>
    <row r="109" spans="1:8">
      <c r="A109" s="128">
        <v>232</v>
      </c>
      <c r="B109" s="130" t="s">
        <v>20</v>
      </c>
      <c r="C109" s="131" t="s">
        <v>9</v>
      </c>
      <c r="D109" s="132">
        <v>0</v>
      </c>
      <c r="E109" s="132">
        <v>0</v>
      </c>
      <c r="F109" s="132">
        <v>0</v>
      </c>
      <c r="G109" s="132">
        <v>0</v>
      </c>
      <c r="H109" s="132">
        <v>0</v>
      </c>
    </row>
    <row r="110" spans="1:8">
      <c r="A110" s="128">
        <v>233</v>
      </c>
      <c r="B110" s="130" t="s">
        <v>66</v>
      </c>
      <c r="C110" s="131" t="s">
        <v>9</v>
      </c>
      <c r="D110" s="132">
        <v>0</v>
      </c>
      <c r="E110" s="132">
        <v>0</v>
      </c>
      <c r="F110" s="132">
        <v>0</v>
      </c>
      <c r="G110" s="132">
        <v>0</v>
      </c>
      <c r="H110" s="132">
        <v>0</v>
      </c>
    </row>
    <row r="111" spans="1:8">
      <c r="A111" s="128">
        <v>234</v>
      </c>
      <c r="B111" s="130" t="s">
        <v>164</v>
      </c>
      <c r="C111" s="131" t="s">
        <v>9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</row>
    <row r="112" spans="1:8">
      <c r="A112" s="128">
        <v>235</v>
      </c>
      <c r="B112" s="130" t="s">
        <v>212</v>
      </c>
      <c r="C112" s="131" t="s">
        <v>9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</row>
    <row r="113" spans="1:8">
      <c r="A113" s="128">
        <v>236</v>
      </c>
      <c r="B113" s="130" t="s">
        <v>150</v>
      </c>
      <c r="C113" s="131" t="s">
        <v>9</v>
      </c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</row>
    <row r="114" spans="1:8">
      <c r="A114" s="128">
        <v>237</v>
      </c>
      <c r="B114" s="130" t="s">
        <v>53</v>
      </c>
      <c r="C114" s="131" t="s">
        <v>9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</row>
    <row r="115" spans="1:8" ht="30">
      <c r="A115" s="128">
        <v>238</v>
      </c>
      <c r="B115" s="130" t="s">
        <v>35</v>
      </c>
      <c r="C115" s="131" t="s">
        <v>211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</row>
    <row r="116" spans="1:8" ht="30">
      <c r="A116" s="128">
        <v>239</v>
      </c>
      <c r="B116" s="130" t="s">
        <v>184</v>
      </c>
      <c r="C116" s="131" t="s">
        <v>211</v>
      </c>
      <c r="D116" s="132">
        <v>0</v>
      </c>
      <c r="E116" s="132">
        <v>0</v>
      </c>
      <c r="F116" s="132">
        <v>0</v>
      </c>
      <c r="G116" s="132">
        <v>0</v>
      </c>
      <c r="H116" s="132">
        <v>0</v>
      </c>
    </row>
    <row r="117" spans="1:8" ht="30">
      <c r="A117" s="128">
        <v>240</v>
      </c>
      <c r="B117" s="130" t="s">
        <v>136</v>
      </c>
      <c r="C117" s="131" t="s">
        <v>211</v>
      </c>
      <c r="D117" s="132">
        <v>0</v>
      </c>
      <c r="E117" s="132">
        <v>0</v>
      </c>
      <c r="F117" s="132">
        <v>7240</v>
      </c>
      <c r="G117" s="132">
        <v>0</v>
      </c>
      <c r="H117" s="132">
        <v>0</v>
      </c>
    </row>
    <row r="118" spans="1:8" ht="30">
      <c r="A118" s="128">
        <v>241</v>
      </c>
      <c r="B118" s="130" t="s">
        <v>95</v>
      </c>
      <c r="C118" s="131" t="s">
        <v>211</v>
      </c>
      <c r="D118" s="132">
        <v>64204</v>
      </c>
      <c r="E118" s="132">
        <v>291506</v>
      </c>
      <c r="F118" s="132">
        <v>0</v>
      </c>
      <c r="G118" s="132">
        <v>143063</v>
      </c>
      <c r="H118" s="132">
        <v>0</v>
      </c>
    </row>
    <row r="119" spans="1:8" ht="30">
      <c r="A119" s="128">
        <v>242</v>
      </c>
      <c r="B119" s="130" t="s">
        <v>151</v>
      </c>
      <c r="C119" s="131" t="s">
        <v>170</v>
      </c>
      <c r="D119" s="132">
        <v>34501</v>
      </c>
      <c r="E119" s="132">
        <v>42797</v>
      </c>
      <c r="F119" s="132">
        <v>45130</v>
      </c>
      <c r="G119" s="132">
        <v>43113</v>
      </c>
      <c r="H119" s="132">
        <v>73392</v>
      </c>
    </row>
    <row r="120" spans="1:8" ht="30">
      <c r="A120" s="128">
        <v>243</v>
      </c>
      <c r="B120" s="130" t="s">
        <v>47</v>
      </c>
      <c r="C120" s="131" t="s">
        <v>170</v>
      </c>
      <c r="D120" s="132">
        <v>0</v>
      </c>
      <c r="E120" s="132">
        <v>0</v>
      </c>
      <c r="F120" s="132">
        <v>0</v>
      </c>
      <c r="G120" s="132">
        <v>0</v>
      </c>
      <c r="H120" s="132">
        <v>0</v>
      </c>
    </row>
    <row r="121" spans="1:8" ht="30">
      <c r="A121" s="128">
        <v>244</v>
      </c>
      <c r="B121" s="130" t="s">
        <v>15</v>
      </c>
      <c r="C121" s="131" t="s">
        <v>170</v>
      </c>
      <c r="D121" s="132">
        <v>0</v>
      </c>
      <c r="E121" s="132">
        <v>0</v>
      </c>
      <c r="F121" s="132">
        <v>166</v>
      </c>
      <c r="G121" s="132">
        <v>0</v>
      </c>
      <c r="H121" s="132">
        <v>0</v>
      </c>
    </row>
    <row r="122" spans="1:8" ht="30">
      <c r="A122" s="128">
        <v>245</v>
      </c>
      <c r="B122" s="130" t="s">
        <v>146</v>
      </c>
      <c r="C122" s="131" t="s">
        <v>130</v>
      </c>
      <c r="D122" s="132">
        <v>212605</v>
      </c>
      <c r="E122" s="132">
        <v>219050</v>
      </c>
      <c r="F122" s="132">
        <v>221934</v>
      </c>
      <c r="G122" s="132">
        <v>228803</v>
      </c>
      <c r="H122" s="132">
        <v>208519</v>
      </c>
    </row>
    <row r="123" spans="1:8">
      <c r="A123" s="128">
        <v>246</v>
      </c>
      <c r="B123" s="130" t="s">
        <v>182</v>
      </c>
      <c r="C123" s="131" t="s">
        <v>112</v>
      </c>
      <c r="D123" s="132">
        <v>0</v>
      </c>
      <c r="E123" s="132">
        <v>5399</v>
      </c>
      <c r="F123" s="132">
        <v>350</v>
      </c>
      <c r="G123" s="132">
        <v>1598</v>
      </c>
      <c r="H123" s="132">
        <v>61066</v>
      </c>
    </row>
    <row r="124" spans="1:8">
      <c r="A124" s="128">
        <v>247</v>
      </c>
      <c r="B124" s="130" t="s">
        <v>113</v>
      </c>
      <c r="C124" s="131" t="s">
        <v>172</v>
      </c>
      <c r="D124" s="132">
        <v>33846</v>
      </c>
      <c r="E124" s="132">
        <v>19970</v>
      </c>
      <c r="F124" s="132">
        <v>19869</v>
      </c>
      <c r="G124" s="132">
        <v>19284</v>
      </c>
      <c r="H124" s="132">
        <v>36907</v>
      </c>
    </row>
    <row r="125" spans="1:8">
      <c r="A125" s="128">
        <v>248</v>
      </c>
      <c r="B125" s="130" t="s">
        <v>84</v>
      </c>
      <c r="C125" s="131" t="s">
        <v>130</v>
      </c>
      <c r="D125" s="132">
        <v>75000</v>
      </c>
      <c r="E125" s="132">
        <v>72500</v>
      </c>
      <c r="F125" s="132">
        <v>56000</v>
      </c>
      <c r="G125" s="132">
        <v>68500</v>
      </c>
      <c r="H125" s="132">
        <v>76500</v>
      </c>
    </row>
    <row r="126" spans="1:8">
      <c r="A126" s="128">
        <v>249</v>
      </c>
      <c r="B126" s="130" t="s">
        <v>162</v>
      </c>
      <c r="C126" s="131" t="s">
        <v>130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</row>
    <row r="127" spans="1:8">
      <c r="A127" s="128"/>
      <c r="B127" s="134"/>
      <c r="C127" s="130"/>
      <c r="D127" s="138"/>
      <c r="E127" s="138"/>
      <c r="F127" s="138"/>
      <c r="G127" s="138"/>
      <c r="H127" s="138"/>
    </row>
    <row r="128" spans="1:8">
      <c r="A128" s="128"/>
      <c r="B128" s="130"/>
      <c r="C128" s="130"/>
      <c r="D128" s="138"/>
      <c r="E128" s="138"/>
      <c r="F128" s="138"/>
      <c r="G128" s="138"/>
      <c r="H128" s="138"/>
    </row>
    <row r="129" spans="1:8">
      <c r="A129" s="128"/>
      <c r="B129" s="134" t="s">
        <v>32</v>
      </c>
      <c r="C129" s="130"/>
      <c r="D129" s="138"/>
      <c r="E129" s="138"/>
      <c r="F129" s="138"/>
      <c r="G129" s="138"/>
      <c r="H129" s="138"/>
    </row>
    <row r="130" spans="1:8">
      <c r="A130" s="128">
        <v>531</v>
      </c>
      <c r="B130" s="130" t="s">
        <v>50</v>
      </c>
      <c r="C130" s="130" t="s">
        <v>50</v>
      </c>
      <c r="D130" s="133">
        <v>51853</v>
      </c>
      <c r="E130" s="133">
        <v>46151</v>
      </c>
      <c r="F130" s="133">
        <v>44190</v>
      </c>
      <c r="G130" s="133">
        <v>46086</v>
      </c>
      <c r="H130" s="133">
        <v>36588</v>
      </c>
    </row>
    <row r="131" spans="1:8">
      <c r="A131" s="128">
        <v>532</v>
      </c>
      <c r="B131" s="130" t="s">
        <v>129</v>
      </c>
      <c r="C131" s="130" t="s">
        <v>129</v>
      </c>
      <c r="D131" s="133">
        <v>0</v>
      </c>
      <c r="E131" s="133">
        <v>59768</v>
      </c>
      <c r="F131" s="133">
        <v>25581</v>
      </c>
      <c r="G131" s="133">
        <v>677</v>
      </c>
      <c r="H131" s="133">
        <v>48698</v>
      </c>
    </row>
    <row r="132" spans="1:8">
      <c r="A132" s="128">
        <v>533</v>
      </c>
      <c r="B132" s="130" t="s">
        <v>23</v>
      </c>
      <c r="C132" s="130" t="s">
        <v>23</v>
      </c>
      <c r="D132" s="133">
        <v>129580</v>
      </c>
      <c r="E132" s="133">
        <v>0</v>
      </c>
      <c r="F132" s="133">
        <v>0</v>
      </c>
      <c r="G132" s="133">
        <v>0</v>
      </c>
      <c r="H132" s="133">
        <v>0</v>
      </c>
    </row>
    <row r="133" spans="1:8">
      <c r="A133" s="128">
        <v>534</v>
      </c>
      <c r="B133" s="130" t="s">
        <v>138</v>
      </c>
      <c r="C133" s="130" t="s">
        <v>138</v>
      </c>
      <c r="D133" s="133">
        <v>79816</v>
      </c>
      <c r="E133" s="133">
        <v>0</v>
      </c>
      <c r="F133" s="133">
        <v>0</v>
      </c>
      <c r="G133" s="133">
        <v>0</v>
      </c>
      <c r="H133" s="133">
        <v>0</v>
      </c>
    </row>
    <row r="134" spans="1:8">
      <c r="A134" s="128">
        <v>535</v>
      </c>
      <c r="B134" s="130" t="s">
        <v>203</v>
      </c>
      <c r="C134" s="130" t="s">
        <v>203</v>
      </c>
      <c r="D134" s="133">
        <v>49764</v>
      </c>
      <c r="E134" s="133">
        <v>30056</v>
      </c>
      <c r="F134" s="133">
        <v>89954</v>
      </c>
      <c r="G134" s="133">
        <v>92219</v>
      </c>
      <c r="H134" s="133">
        <v>58824</v>
      </c>
    </row>
    <row r="135" spans="1:8">
      <c r="A135" s="128"/>
      <c r="B135" s="134"/>
      <c r="C135" s="134"/>
      <c r="D135" s="138"/>
      <c r="E135" s="138"/>
      <c r="F135" s="138"/>
      <c r="G135" s="138"/>
      <c r="H135" s="138"/>
    </row>
    <row r="138" spans="1:8">
      <c r="A138" s="32" t="s">
        <v>163</v>
      </c>
    </row>
    <row r="139" spans="1:8">
      <c r="A139" s="32" t="s">
        <v>156</v>
      </c>
    </row>
  </sheetData>
  <sheetProtection sheet="1"/>
  <conditionalFormatting sqref="D130:H134 D4:H75 D78:H126">
    <cfRule type="expression" dxfId="0" priority="1" stopIfTrue="1">
      <formula>LEN(TRIM(D4))=0</formula>
    </cfRule>
  </conditionalFormatting>
  <printOptions horizontalCentered="1"/>
  <pageMargins left="0.2" right="0.2" top="0.5" bottom="0.5" header="0.25" footer="0.25"/>
  <pageSetup fitToHeight="2" orientation="landscape"/>
  <headerFooter alignWithMargins="0">
    <oddFooter>&amp;L&amp;"Calibri,Bold"CITIZEN'S GUIDE TO LOCAL UNIT FINANCES&amp;R&amp;"Calibri,Bold"&amp;A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Data Input</vt:lpstr>
      <vt:lpstr>Revenues</vt:lpstr>
      <vt:lpstr>Expenditures</vt:lpstr>
      <vt:lpstr>Position</vt:lpstr>
      <vt:lpstr>Obligations</vt:lpstr>
      <vt:lpstr>F-65 Cross-walk</vt:lpstr>
      <vt:lpstr>'Data Input'!Print_Area</vt:lpstr>
      <vt:lpstr>Expenditures!Print_Area</vt:lpstr>
      <vt:lpstr>'F-65 Cross-walk'!Print_Area</vt:lpstr>
      <vt:lpstr>Obligations!Print_Area</vt:lpstr>
      <vt:lpstr>Position!Print_Area</vt:lpstr>
      <vt:lpstr>Revenues!Print_Area</vt:lpstr>
      <vt:lpstr>'Data Input'!Print_Titles</vt:lpstr>
      <vt:lpstr>'F-65 Cross-walk'!Print_Titles</vt:lpstr>
    </vt:vector>
  </TitlesOfParts>
  <Company>Plante &amp; Moran, PLLC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Lappi</dc:creator>
  <cp:lastModifiedBy>Clerk</cp:lastModifiedBy>
  <cp:lastPrinted>2015-08-07T14:55:29Z</cp:lastPrinted>
  <dcterms:created xsi:type="dcterms:W3CDTF">2011-01-04T15:16:36Z</dcterms:created>
  <dcterms:modified xsi:type="dcterms:W3CDTF">2015-11-24T20:31:02Z</dcterms:modified>
</cp:coreProperties>
</file>